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jones.PUB\Desktop\TRIM\Responses\"/>
    </mc:Choice>
  </mc:AlternateContent>
  <bookViews>
    <workbookView xWindow="0" yWindow="0" windowWidth="21570" windowHeight="10245" tabRatio="790"/>
  </bookViews>
  <sheets>
    <sheet name="HV-GB System" sheetId="14" r:id="rId1"/>
    <sheet name="Labrador City System" sheetId="15" r:id="rId2"/>
    <sheet name="Wabush System" sheetId="29" r:id="rId3"/>
    <sheet name="Lab West Long Term" sheetId="28" r:id="rId4"/>
    <sheet name="Small GS" sheetId="34" r:id="rId5"/>
  </sheets>
  <externalReferences>
    <externalReference r:id="rId6"/>
  </externalReferences>
  <calcPr calcId="152511" iterateDelta="9.9999999999999995E-7"/>
</workbook>
</file>

<file path=xl/calcChain.xml><?xml version="1.0" encoding="utf-8"?>
<calcChain xmlns="http://schemas.openxmlformats.org/spreadsheetml/2006/main">
  <c r="U69" i="14" l="1"/>
  <c r="V69" i="14" s="1"/>
  <c r="W69" i="14" s="1"/>
  <c r="X69" i="14" s="1"/>
  <c r="Y69" i="14" s="1"/>
  <c r="T73" i="14"/>
  <c r="U73" i="14"/>
  <c r="V73" i="14"/>
  <c r="W73" i="14"/>
  <c r="X73" i="14"/>
  <c r="Y73" i="14"/>
  <c r="T75" i="14"/>
  <c r="U75" i="14"/>
  <c r="V75" i="14"/>
  <c r="W75" i="14"/>
  <c r="X75" i="14"/>
  <c r="Y75" i="14"/>
  <c r="T71" i="14" l="1"/>
  <c r="U71" i="14" s="1"/>
  <c r="V71" i="14" s="1"/>
  <c r="W71" i="14" s="1"/>
  <c r="X71" i="14" s="1"/>
  <c r="Y71" i="14" s="1"/>
  <c r="P27" i="14"/>
  <c r="Q27" i="14"/>
  <c r="R27" i="14"/>
  <c r="B3" i="28" l="1"/>
  <c r="B4" i="28"/>
  <c r="B5" i="28"/>
  <c r="B15" i="28" s="1"/>
  <c r="B9" i="28"/>
  <c r="B10" i="28"/>
  <c r="B19" i="28"/>
  <c r="B20" i="28"/>
  <c r="B22" i="28"/>
  <c r="B23" i="28"/>
  <c r="B25" i="28"/>
  <c r="B26" i="28"/>
  <c r="B28" i="28"/>
  <c r="B29" i="28"/>
  <c r="B31" i="28"/>
  <c r="B32" i="28"/>
  <c r="B34" i="28"/>
  <c r="B35" i="28"/>
  <c r="B40" i="28"/>
  <c r="B41" i="28"/>
  <c r="B46" i="28"/>
  <c r="B50" i="29"/>
  <c r="B38" i="29"/>
  <c r="B37" i="29"/>
  <c r="B43" i="29" s="1"/>
  <c r="B44" i="29" s="1"/>
  <c r="B14" i="29"/>
  <c r="B13" i="29"/>
  <c r="B52" i="15"/>
  <c r="B51" i="15"/>
  <c r="B38" i="15"/>
  <c r="B37" i="15"/>
  <c r="B44" i="15" s="1"/>
  <c r="B45" i="15" s="1"/>
  <c r="B14" i="15"/>
  <c r="B13" i="15"/>
  <c r="B14" i="28" l="1"/>
  <c r="B37" i="28"/>
  <c r="B43" i="28" s="1"/>
  <c r="B44" i="28" s="1"/>
  <c r="B38" i="28"/>
  <c r="C6" i="14" l="1"/>
  <c r="C7" i="14"/>
  <c r="C11" i="14"/>
  <c r="C12" i="14"/>
  <c r="B14" i="14"/>
  <c r="C14" i="14"/>
  <c r="B15" i="14"/>
  <c r="C15" i="14"/>
  <c r="B40" i="14"/>
  <c r="B46" i="14" s="1"/>
  <c r="B47" i="14" s="1"/>
  <c r="C40" i="14"/>
  <c r="B41" i="14"/>
  <c r="C41" i="14"/>
  <c r="C46" i="14"/>
  <c r="C47" i="14" s="1"/>
  <c r="B53" i="14"/>
  <c r="C53" i="14"/>
  <c r="B54" i="14"/>
  <c r="C54" i="14"/>
  <c r="D6" i="14"/>
  <c r="D7" i="14"/>
  <c r="D11" i="14"/>
  <c r="D12" i="14"/>
  <c r="C16" i="14" l="1"/>
  <c r="C17" i="14"/>
  <c r="X29" i="28" l="1"/>
  <c r="W38" i="14" l="1"/>
  <c r="U38" i="14"/>
  <c r="U29" i="14"/>
  <c r="V29" i="14"/>
  <c r="W29" i="14"/>
  <c r="X29" i="14"/>
  <c r="Y29" i="14"/>
  <c r="T29" i="14"/>
  <c r="U26" i="14"/>
  <c r="W26" i="14"/>
  <c r="X26" i="14"/>
  <c r="Y26" i="14"/>
  <c r="V26" i="14"/>
  <c r="T26" i="14"/>
  <c r="X38" i="14" l="1"/>
  <c r="T25" i="14"/>
  <c r="X25" i="14"/>
  <c r="Y25" i="14"/>
  <c r="W25" i="14"/>
  <c r="V25" i="14"/>
  <c r="U25" i="14"/>
  <c r="Y38" i="14" l="1"/>
  <c r="Z25" i="14"/>
  <c r="AA25" i="14" s="1"/>
  <c r="AB25" i="14" s="1"/>
  <c r="AC25" i="14" s="1"/>
  <c r="AD25" i="14" s="1"/>
  <c r="AE25" i="14" s="1"/>
  <c r="AF25" i="14" s="1"/>
  <c r="AG25" i="14" s="1"/>
  <c r="AH25" i="14" s="1"/>
  <c r="AI25" i="14" s="1"/>
  <c r="AJ25" i="14" s="1"/>
  <c r="AK25" i="14" s="1"/>
  <c r="AL25" i="14" s="1"/>
  <c r="AM25" i="14" s="1"/>
  <c r="AN25" i="14" s="1"/>
  <c r="V28" i="14" l="1"/>
  <c r="W28" i="14"/>
  <c r="X28" i="14"/>
  <c r="Y28" i="14"/>
  <c r="U28" i="14"/>
  <c r="T28" i="14" l="1"/>
  <c r="S34" i="15" l="1"/>
  <c r="T34" i="15" s="1"/>
  <c r="U34" i="15" s="1"/>
  <c r="V34" i="15" s="1"/>
  <c r="W34" i="15" s="1"/>
  <c r="X34" i="15" s="1"/>
  <c r="T11" i="29" l="1"/>
  <c r="T11" i="15"/>
  <c r="V27" i="15"/>
  <c r="W27" i="15"/>
  <c r="X27" i="15"/>
  <c r="X28" i="28" s="1"/>
  <c r="U27" i="15"/>
  <c r="T27" i="15" l="1"/>
  <c r="S27" i="15"/>
  <c r="S40" i="29" l="1"/>
  <c r="Q20" i="15"/>
  <c r="R20" i="15"/>
  <c r="R50" i="29"/>
  <c r="R51" i="15"/>
  <c r="T43" i="14" l="1"/>
  <c r="S17" i="34"/>
  <c r="T17" i="34" s="1"/>
  <c r="S16" i="34"/>
  <c r="S5" i="34"/>
  <c r="T5" i="34" s="1"/>
  <c r="U5" i="34" s="1"/>
  <c r="V5" i="34" s="1"/>
  <c r="S4" i="34"/>
  <c r="S18" i="34" l="1"/>
  <c r="U17" i="34"/>
  <c r="S22" i="29"/>
  <c r="S19" i="29"/>
  <c r="N52" i="15"/>
  <c r="O52" i="15"/>
  <c r="P52" i="15"/>
  <c r="Q52" i="15"/>
  <c r="T22" i="29" l="1"/>
  <c r="T19" i="29"/>
  <c r="S10" i="34"/>
  <c r="S11" i="34"/>
  <c r="S12" i="34" l="1"/>
  <c r="R37" i="29"/>
  <c r="R43" i="29" s="1"/>
  <c r="R44" i="29" s="1"/>
  <c r="R38" i="29"/>
  <c r="R30" i="29"/>
  <c r="R31" i="29"/>
  <c r="R26" i="29"/>
  <c r="L23" i="29"/>
  <c r="M23" i="29"/>
  <c r="N23" i="29"/>
  <c r="O23" i="29"/>
  <c r="P23" i="29"/>
  <c r="Q23" i="29"/>
  <c r="R23" i="29"/>
  <c r="R20" i="29"/>
  <c r="R37" i="15"/>
  <c r="R44" i="15" s="1"/>
  <c r="R45" i="15" s="1"/>
  <c r="R38" i="15"/>
  <c r="R30" i="15"/>
  <c r="R31" i="15"/>
  <c r="R26" i="15"/>
  <c r="R23" i="15"/>
  <c r="R13" i="29"/>
  <c r="R14" i="29"/>
  <c r="R11" i="29"/>
  <c r="R10" i="29"/>
  <c r="R6" i="29"/>
  <c r="R5" i="29"/>
  <c r="R13" i="15"/>
  <c r="R14" i="15"/>
  <c r="R11" i="15"/>
  <c r="R10" i="15"/>
  <c r="R5" i="15"/>
  <c r="R6" i="15"/>
  <c r="S12" i="14"/>
  <c r="S11" i="14"/>
  <c r="S7" i="14"/>
  <c r="S6" i="14"/>
  <c r="O54" i="14" l="1"/>
  <c r="P54" i="14"/>
  <c r="Q54" i="14"/>
  <c r="R54" i="14"/>
  <c r="Q51" i="29" l="1"/>
  <c r="P51" i="29"/>
  <c r="O51" i="29"/>
  <c r="N51" i="29"/>
  <c r="S35" i="15" l="1"/>
  <c r="T35" i="15" s="1"/>
  <c r="U35" i="15" s="1"/>
  <c r="V35" i="15" s="1"/>
  <c r="W35" i="15" s="1"/>
  <c r="X35" i="15" s="1"/>
  <c r="X35" i="28" s="1"/>
  <c r="W28" i="28"/>
  <c r="W29" i="28"/>
  <c r="P10" i="29"/>
  <c r="Q10" i="29"/>
  <c r="P5" i="29"/>
  <c r="Q5" i="29"/>
  <c r="Q51" i="15" l="1"/>
  <c r="Q26" i="29" l="1"/>
  <c r="S24" i="29" s="1"/>
  <c r="P26" i="29"/>
  <c r="U11" i="29"/>
  <c r="V11" i="29" s="1"/>
  <c r="W11" i="29" s="1"/>
  <c r="X11" i="29" s="1"/>
  <c r="U11" i="15" l="1"/>
  <c r="V11" i="15" s="1"/>
  <c r="W11" i="15" s="1"/>
  <c r="X11" i="15" s="1"/>
  <c r="Q10" i="15" l="1"/>
  <c r="Q5" i="15"/>
  <c r="Q11" i="15"/>
  <c r="Q20" i="29" l="1"/>
  <c r="Q26" i="15"/>
  <c r="Q23" i="15"/>
  <c r="R17" i="34"/>
  <c r="R16" i="34"/>
  <c r="R10" i="34"/>
  <c r="R11" i="34"/>
  <c r="P50" i="29"/>
  <c r="Q50" i="29"/>
  <c r="P37" i="29"/>
  <c r="P43" i="29" s="1"/>
  <c r="P44" i="29" s="1"/>
  <c r="Q37" i="29"/>
  <c r="Q43" i="29" s="1"/>
  <c r="Q44" i="29" s="1"/>
  <c r="P38" i="29"/>
  <c r="Q38" i="29"/>
  <c r="P30" i="29"/>
  <c r="Q30" i="29"/>
  <c r="P31" i="29"/>
  <c r="Q31" i="29"/>
  <c r="P14" i="29"/>
  <c r="Q14" i="29"/>
  <c r="P13" i="29"/>
  <c r="Q13" i="29"/>
  <c r="P11" i="29"/>
  <c r="Q11" i="29"/>
  <c r="P6" i="29"/>
  <c r="Q6" i="29"/>
  <c r="Q37" i="15"/>
  <c r="Q44" i="15" s="1"/>
  <c r="Q45" i="15" s="1"/>
  <c r="Q38" i="15"/>
  <c r="Q30" i="15"/>
  <c r="Q31" i="15"/>
  <c r="Q13" i="15"/>
  <c r="Q14" i="15"/>
  <c r="Q6" i="15"/>
  <c r="R15" i="15" l="1"/>
  <c r="R16" i="15"/>
  <c r="Q16" i="29"/>
  <c r="R12" i="34"/>
  <c r="Q15" i="29"/>
  <c r="R16" i="29"/>
  <c r="R15" i="29"/>
  <c r="R18" i="34"/>
  <c r="AI16" i="14"/>
  <c r="Z38" i="14"/>
  <c r="AA38" i="14" s="1"/>
  <c r="AB38" i="14" s="1"/>
  <c r="AC38" i="14" s="1"/>
  <c r="AD38" i="14" s="1"/>
  <c r="AE38" i="14" s="1"/>
  <c r="AF38" i="14" s="1"/>
  <c r="AG38" i="14" s="1"/>
  <c r="AH38" i="14" s="1"/>
  <c r="AI38" i="14" s="1"/>
  <c r="AJ38" i="14" s="1"/>
  <c r="AK38" i="14" s="1"/>
  <c r="AL38" i="14" s="1"/>
  <c r="AM38" i="14" l="1"/>
  <c r="AN38" i="14" s="1"/>
  <c r="R53" i="14" l="1"/>
  <c r="R5" i="34" l="1"/>
  <c r="R4" i="34"/>
  <c r="R6" i="34" l="1"/>
  <c r="R12" i="14" l="1"/>
  <c r="R11" i="14"/>
  <c r="R7" i="14"/>
  <c r="R6" i="14"/>
  <c r="V28" i="28" l="1"/>
  <c r="V29" i="28"/>
  <c r="G53" i="14" l="1"/>
  <c r="G54" i="14"/>
  <c r="Q53" i="14" l="1"/>
  <c r="P51" i="15" l="1"/>
  <c r="P26" i="15" l="1"/>
  <c r="L23" i="15"/>
  <c r="M23" i="15"/>
  <c r="N23" i="15"/>
  <c r="O23" i="15"/>
  <c r="P23" i="15"/>
  <c r="L20" i="15"/>
  <c r="M20" i="15"/>
  <c r="N20" i="15"/>
  <c r="O20" i="15"/>
  <c r="P20" i="15"/>
  <c r="Q10" i="34" l="1"/>
  <c r="Q11" i="34"/>
  <c r="N10" i="15"/>
  <c r="P37" i="15"/>
  <c r="P44" i="15" s="1"/>
  <c r="P45" i="15" s="1"/>
  <c r="P38" i="15"/>
  <c r="P30" i="15"/>
  <c r="P31" i="15"/>
  <c r="P13" i="15"/>
  <c r="P14" i="15"/>
  <c r="P10" i="15"/>
  <c r="P11" i="15"/>
  <c r="P5" i="15"/>
  <c r="P6" i="15"/>
  <c r="Q15" i="15" l="1"/>
  <c r="Q16" i="15"/>
  <c r="T11" i="34"/>
  <c r="Q12" i="34"/>
  <c r="U11" i="34" l="1"/>
  <c r="S22" i="15"/>
  <c r="S19" i="15"/>
  <c r="T10" i="34"/>
  <c r="U10" i="34"/>
  <c r="U12" i="34" l="1"/>
  <c r="T21" i="15"/>
  <c r="T18" i="15"/>
  <c r="T12" i="34"/>
  <c r="S21" i="15"/>
  <c r="S18" i="15"/>
  <c r="V11" i="34"/>
  <c r="T19" i="15"/>
  <c r="T22" i="15"/>
  <c r="Q7" i="14"/>
  <c r="Q5" i="34"/>
  <c r="Q4" i="34"/>
  <c r="Q40" i="14"/>
  <c r="Q46" i="14" s="1"/>
  <c r="Q47" i="14" s="1"/>
  <c r="Q41" i="14"/>
  <c r="Q14" i="14"/>
  <c r="Q15" i="14"/>
  <c r="Q12" i="14"/>
  <c r="Q11" i="14"/>
  <c r="U19" i="15" l="1"/>
  <c r="U22" i="15"/>
  <c r="V10" i="34"/>
  <c r="W11" i="34"/>
  <c r="Q6" i="34"/>
  <c r="Q6" i="14"/>
  <c r="V22" i="15" l="1"/>
  <c r="V19" i="15"/>
  <c r="W10" i="34"/>
  <c r="X11" i="34"/>
  <c r="U21" i="15"/>
  <c r="U18" i="15"/>
  <c r="V12" i="34"/>
  <c r="Q17" i="34"/>
  <c r="Q16" i="34"/>
  <c r="M51" i="29"/>
  <c r="L51" i="29"/>
  <c r="K51" i="29"/>
  <c r="J51" i="29"/>
  <c r="I51" i="29"/>
  <c r="H51" i="29"/>
  <c r="G51" i="29"/>
  <c r="F51" i="29"/>
  <c r="E51" i="29"/>
  <c r="D51" i="29"/>
  <c r="C51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C50" i="29"/>
  <c r="R41" i="29"/>
  <c r="O41" i="29"/>
  <c r="O38" i="29"/>
  <c r="N38" i="29"/>
  <c r="M38" i="29"/>
  <c r="L38" i="29"/>
  <c r="K38" i="29"/>
  <c r="J38" i="29"/>
  <c r="G38" i="29"/>
  <c r="F38" i="29"/>
  <c r="E38" i="29"/>
  <c r="D38" i="29"/>
  <c r="C38" i="29"/>
  <c r="O37" i="29"/>
  <c r="O43" i="29" s="1"/>
  <c r="O44" i="29" s="1"/>
  <c r="N37" i="29"/>
  <c r="N43" i="29" s="1"/>
  <c r="N44" i="29" s="1"/>
  <c r="M37" i="29"/>
  <c r="M43" i="29" s="1"/>
  <c r="M44" i="29" s="1"/>
  <c r="L37" i="29"/>
  <c r="L43" i="29" s="1"/>
  <c r="L44" i="29" s="1"/>
  <c r="K37" i="29"/>
  <c r="K43" i="29" s="1"/>
  <c r="K44" i="29" s="1"/>
  <c r="J37" i="29"/>
  <c r="J43" i="29" s="1"/>
  <c r="J44" i="29" s="1"/>
  <c r="I37" i="29"/>
  <c r="I43" i="29" s="1"/>
  <c r="I44" i="29" s="1"/>
  <c r="H37" i="29"/>
  <c r="H43" i="29" s="1"/>
  <c r="H44" i="29" s="1"/>
  <c r="G37" i="29"/>
  <c r="G43" i="29" s="1"/>
  <c r="G44" i="29" s="1"/>
  <c r="F37" i="29"/>
  <c r="F43" i="29" s="1"/>
  <c r="F44" i="29" s="1"/>
  <c r="E37" i="29"/>
  <c r="E43" i="29" s="1"/>
  <c r="E44" i="29" s="1"/>
  <c r="D37" i="29"/>
  <c r="D43" i="29" s="1"/>
  <c r="D44" i="29" s="1"/>
  <c r="C37" i="29"/>
  <c r="C43" i="29" s="1"/>
  <c r="C44" i="29" s="1"/>
  <c r="I34" i="29"/>
  <c r="I38" i="29" s="1"/>
  <c r="H34" i="29"/>
  <c r="H38" i="29" s="1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O26" i="29"/>
  <c r="N26" i="29"/>
  <c r="M26" i="29"/>
  <c r="L26" i="29"/>
  <c r="K26" i="29"/>
  <c r="J26" i="29"/>
  <c r="I26" i="29"/>
  <c r="H26" i="29"/>
  <c r="K23" i="29"/>
  <c r="P20" i="29"/>
  <c r="O20" i="29"/>
  <c r="N20" i="29"/>
  <c r="M20" i="29"/>
  <c r="L20" i="29"/>
  <c r="K20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O6" i="29"/>
  <c r="N6" i="29"/>
  <c r="M6" i="29"/>
  <c r="L6" i="29"/>
  <c r="K6" i="29"/>
  <c r="J6" i="29"/>
  <c r="I6" i="29"/>
  <c r="H6" i="29"/>
  <c r="G6" i="29"/>
  <c r="F6" i="29"/>
  <c r="E6" i="29"/>
  <c r="D6" i="29"/>
  <c r="O5" i="29"/>
  <c r="N5" i="29"/>
  <c r="M5" i="29"/>
  <c r="L5" i="29"/>
  <c r="K5" i="29"/>
  <c r="J5" i="29"/>
  <c r="I5" i="29"/>
  <c r="H5" i="29"/>
  <c r="G5" i="29"/>
  <c r="F5" i="29"/>
  <c r="E5" i="29"/>
  <c r="D5" i="29"/>
  <c r="R2" i="29"/>
  <c r="N2" i="29"/>
  <c r="O2" i="29" s="1"/>
  <c r="M15" i="29" l="1"/>
  <c r="G15" i="29"/>
  <c r="K15" i="29"/>
  <c r="S5" i="29"/>
  <c r="G16" i="29"/>
  <c r="K16" i="29"/>
  <c r="O16" i="29"/>
  <c r="H15" i="29"/>
  <c r="J15" i="29"/>
  <c r="E16" i="29"/>
  <c r="I16" i="29"/>
  <c r="M16" i="29"/>
  <c r="S50" i="29"/>
  <c r="T50" i="29" s="1"/>
  <c r="U50" i="29" s="1"/>
  <c r="V50" i="29" s="1"/>
  <c r="W50" i="29" s="1"/>
  <c r="X50" i="29" s="1"/>
  <c r="D16" i="29"/>
  <c r="S44" i="29"/>
  <c r="Y11" i="34"/>
  <c r="W22" i="15"/>
  <c r="W19" i="15"/>
  <c r="X10" i="34"/>
  <c r="W12" i="34"/>
  <c r="V21" i="15"/>
  <c r="V18" i="15"/>
  <c r="F16" i="29"/>
  <c r="F15" i="29"/>
  <c r="O15" i="29"/>
  <c r="P15" i="29"/>
  <c r="P16" i="29"/>
  <c r="D15" i="29"/>
  <c r="H16" i="29"/>
  <c r="L16" i="29"/>
  <c r="Q18" i="34"/>
  <c r="S2" i="29"/>
  <c r="S9" i="29"/>
  <c r="I15" i="29"/>
  <c r="N15" i="29"/>
  <c r="E15" i="29"/>
  <c r="J16" i="29"/>
  <c r="N16" i="29"/>
  <c r="L15" i="29"/>
  <c r="S34" i="29"/>
  <c r="S41" i="29"/>
  <c r="Y10" i="34" l="1"/>
  <c r="X19" i="15"/>
  <c r="X22" i="15"/>
  <c r="W21" i="15"/>
  <c r="W18" i="15"/>
  <c r="X12" i="34"/>
  <c r="W31" i="15"/>
  <c r="T25" i="29"/>
  <c r="T24" i="29" s="1"/>
  <c r="T41" i="29"/>
  <c r="T2" i="29"/>
  <c r="S33" i="29"/>
  <c r="T9" i="29"/>
  <c r="S8" i="29"/>
  <c r="X31" i="15" l="1"/>
  <c r="Y12" i="34"/>
  <c r="X21" i="15"/>
  <c r="X18" i="15"/>
  <c r="U25" i="29"/>
  <c r="U24" i="29" s="1"/>
  <c r="S31" i="29"/>
  <c r="V17" i="34"/>
  <c r="T33" i="29"/>
  <c r="S4" i="29"/>
  <c r="T8" i="29"/>
  <c r="T6" i="29"/>
  <c r="U9" i="29"/>
  <c r="T40" i="29"/>
  <c r="U2" i="29"/>
  <c r="U41" i="29"/>
  <c r="U33" i="29" l="1"/>
  <c r="U22" i="29"/>
  <c r="U19" i="29"/>
  <c r="T31" i="29"/>
  <c r="V25" i="29"/>
  <c r="V24" i="29" s="1"/>
  <c r="V41" i="29"/>
  <c r="V9" i="29"/>
  <c r="V2" i="29"/>
  <c r="W17" i="34"/>
  <c r="U8" i="29"/>
  <c r="T44" i="29"/>
  <c r="S38" i="29"/>
  <c r="S14" i="29"/>
  <c r="S15" i="29" s="1"/>
  <c r="T4" i="29"/>
  <c r="S3" i="29"/>
  <c r="U40" i="29"/>
  <c r="U6" i="29"/>
  <c r="V22" i="29" l="1"/>
  <c r="V19" i="29"/>
  <c r="U31" i="29"/>
  <c r="W25" i="29"/>
  <c r="W24" i="29" s="1"/>
  <c r="T3" i="29"/>
  <c r="W9" i="29"/>
  <c r="W41" i="29"/>
  <c r="V41" i="28"/>
  <c r="V40" i="29"/>
  <c r="V26" i="28"/>
  <c r="V33" i="29"/>
  <c r="W2" i="29"/>
  <c r="X17" i="34"/>
  <c r="V6" i="29"/>
  <c r="U44" i="29"/>
  <c r="V8" i="29"/>
  <c r="T38" i="29"/>
  <c r="T14" i="29"/>
  <c r="T15" i="29" s="1"/>
  <c r="U4" i="29"/>
  <c r="S13" i="29"/>
  <c r="S16" i="29" s="1"/>
  <c r="W22" i="29" l="1"/>
  <c r="W19" i="29"/>
  <c r="X41" i="29"/>
  <c r="W41" i="28"/>
  <c r="X2" i="29"/>
  <c r="X25" i="29"/>
  <c r="W26" i="28"/>
  <c r="X9" i="29"/>
  <c r="T13" i="29"/>
  <c r="T16" i="29" s="1"/>
  <c r="V31" i="29"/>
  <c r="W33" i="29"/>
  <c r="W40" i="29"/>
  <c r="V40" i="28"/>
  <c r="Y17" i="34"/>
  <c r="W8" i="29"/>
  <c r="V44" i="29"/>
  <c r="U38" i="29"/>
  <c r="U14" i="29"/>
  <c r="U15" i="29" s="1"/>
  <c r="V4" i="29"/>
  <c r="U3" i="29"/>
  <c r="W6" i="29"/>
  <c r="X6" i="29" s="1"/>
  <c r="X41" i="28" l="1"/>
  <c r="X26" i="28"/>
  <c r="X24" i="29"/>
  <c r="X22" i="29"/>
  <c r="X23" i="28" s="1"/>
  <c r="X19" i="29"/>
  <c r="X20" i="28" s="1"/>
  <c r="X33" i="29"/>
  <c r="X8" i="29"/>
  <c r="W20" i="28"/>
  <c r="X40" i="29"/>
  <c r="W40" i="28"/>
  <c r="W31" i="29"/>
  <c r="W32" i="28" s="1"/>
  <c r="W23" i="28"/>
  <c r="V3" i="29"/>
  <c r="U13" i="29"/>
  <c r="U16" i="29" s="1"/>
  <c r="W44" i="29"/>
  <c r="X44" i="29" s="1"/>
  <c r="V38" i="29"/>
  <c r="V14" i="29"/>
  <c r="V15" i="29" s="1"/>
  <c r="W4" i="29"/>
  <c r="X40" i="28" l="1"/>
  <c r="X34" i="28"/>
  <c r="X31" i="29"/>
  <c r="X32" i="28" s="1"/>
  <c r="X4" i="29"/>
  <c r="V13" i="29"/>
  <c r="V16" i="29" s="1"/>
  <c r="W38" i="29"/>
  <c r="W14" i="29"/>
  <c r="W15" i="29" s="1"/>
  <c r="W3" i="29"/>
  <c r="X3" i="29" l="1"/>
  <c r="X14" i="29"/>
  <c r="X15" i="29" s="1"/>
  <c r="X38" i="29"/>
  <c r="W13" i="29"/>
  <c r="W16" i="29" s="1"/>
  <c r="O4" i="28"/>
  <c r="O5" i="28"/>
  <c r="O9" i="28"/>
  <c r="O10" i="28"/>
  <c r="O19" i="28"/>
  <c r="O20" i="28"/>
  <c r="O22" i="28"/>
  <c r="O23" i="28"/>
  <c r="O25" i="28"/>
  <c r="O26" i="28"/>
  <c r="O28" i="28"/>
  <c r="O29" i="28"/>
  <c r="O34" i="28"/>
  <c r="O35" i="28"/>
  <c r="O40" i="28"/>
  <c r="O41" i="28"/>
  <c r="O46" i="28"/>
  <c r="U26" i="28"/>
  <c r="U28" i="28"/>
  <c r="U29" i="28"/>
  <c r="U40" i="28"/>
  <c r="U41" i="28"/>
  <c r="X13" i="29" l="1"/>
  <c r="X16" i="29" s="1"/>
  <c r="O37" i="28"/>
  <c r="O43" i="28" s="1"/>
  <c r="O44" i="28" s="1"/>
  <c r="O15" i="28"/>
  <c r="O14" i="28"/>
  <c r="O38" i="28"/>
  <c r="O37" i="15" l="1"/>
  <c r="O44" i="15" s="1"/>
  <c r="O45" i="15" s="1"/>
  <c r="O38" i="15"/>
  <c r="O26" i="15" l="1"/>
  <c r="P10" i="34"/>
  <c r="P11" i="34"/>
  <c r="O30" i="15"/>
  <c r="O31" i="28" s="1"/>
  <c r="O31" i="15"/>
  <c r="O32" i="28" s="1"/>
  <c r="O13" i="15"/>
  <c r="O14" i="15"/>
  <c r="O11" i="15"/>
  <c r="O10" i="15"/>
  <c r="O6" i="15"/>
  <c r="O5" i="15"/>
  <c r="P15" i="15" l="1"/>
  <c r="P16" i="15"/>
  <c r="P12" i="34"/>
  <c r="G31" i="15"/>
  <c r="P17" i="34" l="1"/>
  <c r="P16" i="34"/>
  <c r="P18" i="34" l="1"/>
  <c r="D53" i="14" l="1"/>
  <c r="E53" i="14"/>
  <c r="F53" i="14"/>
  <c r="H53" i="14"/>
  <c r="I53" i="14"/>
  <c r="J53" i="14"/>
  <c r="K53" i="14"/>
  <c r="L53" i="14"/>
  <c r="O53" i="14"/>
  <c r="P53" i="14"/>
  <c r="P4" i="34" l="1"/>
  <c r="P5" i="34"/>
  <c r="P6" i="34" l="1"/>
  <c r="P40" i="14"/>
  <c r="P46" i="14" s="1"/>
  <c r="P47" i="14" s="1"/>
  <c r="P41" i="14"/>
  <c r="P34" i="14"/>
  <c r="P35" i="14"/>
  <c r="P14" i="14"/>
  <c r="P15" i="14"/>
  <c r="P12" i="14"/>
  <c r="P11" i="14"/>
  <c r="P7" i="14"/>
  <c r="P6" i="14"/>
  <c r="Q16" i="14" l="1"/>
  <c r="Q17" i="14"/>
  <c r="N53" i="14" l="1"/>
  <c r="M53" i="14"/>
  <c r="O11" i="34" l="1"/>
  <c r="O10" i="34"/>
  <c r="Z26" i="14" l="1"/>
  <c r="O12" i="34"/>
  <c r="AA26" i="14" l="1"/>
  <c r="AB26" i="14"/>
  <c r="N5" i="15"/>
  <c r="N6" i="15"/>
  <c r="N11" i="15"/>
  <c r="N13" i="15"/>
  <c r="N14" i="15"/>
  <c r="N26" i="15"/>
  <c r="N30" i="15"/>
  <c r="N31" i="15"/>
  <c r="N37" i="15"/>
  <c r="N44" i="15" s="1"/>
  <c r="N45" i="15" s="1"/>
  <c r="N38" i="15"/>
  <c r="N51" i="15"/>
  <c r="W24" i="15" l="1"/>
  <c r="X24" i="15"/>
  <c r="U24" i="15"/>
  <c r="T24" i="15"/>
  <c r="V24" i="15"/>
  <c r="S24" i="15"/>
  <c r="AC26" i="14"/>
  <c r="O15" i="15"/>
  <c r="O16" i="15"/>
  <c r="O40" i="14"/>
  <c r="O41" i="14"/>
  <c r="X30" i="15" l="1"/>
  <c r="X25" i="28"/>
  <c r="U25" i="28"/>
  <c r="V25" i="28"/>
  <c r="W30" i="15"/>
  <c r="W25" i="28"/>
  <c r="AD26" i="14"/>
  <c r="O5" i="34"/>
  <c r="O4" i="34"/>
  <c r="N34" i="14"/>
  <c r="O14" i="14"/>
  <c r="O15" i="14"/>
  <c r="O12" i="14"/>
  <c r="O11" i="14"/>
  <c r="O7" i="14"/>
  <c r="U7" i="14" s="1"/>
  <c r="V7" i="14" s="1"/>
  <c r="W7" i="14" s="1"/>
  <c r="X7" i="14" s="1"/>
  <c r="Y7" i="14" s="1"/>
  <c r="O6" i="14"/>
  <c r="AE26" i="14" l="1"/>
  <c r="P17" i="14"/>
  <c r="P16" i="14"/>
  <c r="O6" i="34"/>
  <c r="O16" i="34"/>
  <c r="O17" i="34"/>
  <c r="AF26" i="14" l="1"/>
  <c r="O18" i="34"/>
  <c r="AG26" i="14" l="1"/>
  <c r="AH26" i="14" l="1"/>
  <c r="AI26" i="14" l="1"/>
  <c r="AJ26" i="14" l="1"/>
  <c r="AK26" i="14" l="1"/>
  <c r="AL26" i="14" l="1"/>
  <c r="AM26" i="14" l="1"/>
  <c r="AN26" i="14"/>
  <c r="V12" i="14" l="1"/>
  <c r="W12" i="14" s="1"/>
  <c r="X12" i="14" s="1"/>
  <c r="Y12" i="14" s="1"/>
  <c r="N35" i="14" l="1"/>
  <c r="U11" i="14" l="1"/>
  <c r="N11" i="14"/>
  <c r="U35" i="28" l="1"/>
  <c r="W35" i="28" l="1"/>
  <c r="V35" i="28"/>
  <c r="T10" i="14"/>
  <c r="U10" i="14" l="1"/>
  <c r="V10" i="14" l="1"/>
  <c r="G34" i="14"/>
  <c r="H34" i="14"/>
  <c r="I34" i="14"/>
  <c r="J34" i="14"/>
  <c r="K34" i="14"/>
  <c r="L34" i="14"/>
  <c r="M34" i="14"/>
  <c r="F35" i="14"/>
  <c r="G35" i="14"/>
  <c r="H35" i="14"/>
  <c r="I35" i="14"/>
  <c r="J35" i="14"/>
  <c r="K35" i="14"/>
  <c r="L35" i="14"/>
  <c r="M35" i="14"/>
  <c r="W10" i="14" l="1"/>
  <c r="V9" i="14"/>
  <c r="N54" i="14"/>
  <c r="N41" i="14"/>
  <c r="N40" i="14"/>
  <c r="N15" i="14"/>
  <c r="N14" i="14"/>
  <c r="N12" i="14"/>
  <c r="N7" i="14"/>
  <c r="N6" i="14"/>
  <c r="N17" i="34"/>
  <c r="S19" i="34" s="1"/>
  <c r="M17" i="34"/>
  <c r="R19" i="34" s="1"/>
  <c r="N16" i="34"/>
  <c r="M16" i="34"/>
  <c r="N11" i="34"/>
  <c r="S13" i="34" s="1"/>
  <c r="M11" i="34"/>
  <c r="R13" i="34" s="1"/>
  <c r="N10" i="34"/>
  <c r="M10" i="34"/>
  <c r="N5" i="34"/>
  <c r="M5" i="34"/>
  <c r="R7" i="34" s="1"/>
  <c r="N4" i="34"/>
  <c r="M4" i="34"/>
  <c r="M46" i="28"/>
  <c r="L46" i="28"/>
  <c r="M41" i="28"/>
  <c r="L41" i="28"/>
  <c r="M40" i="28"/>
  <c r="L40" i="28"/>
  <c r="M35" i="28"/>
  <c r="L35" i="28"/>
  <c r="M34" i="28"/>
  <c r="L34" i="28"/>
  <c r="M29" i="28"/>
  <c r="L29" i="28"/>
  <c r="M28" i="28"/>
  <c r="L28" i="28"/>
  <c r="M26" i="28"/>
  <c r="L26" i="28"/>
  <c r="M25" i="28"/>
  <c r="M23" i="28"/>
  <c r="L23" i="28"/>
  <c r="M22" i="28"/>
  <c r="L22" i="28"/>
  <c r="M20" i="28"/>
  <c r="L20" i="28"/>
  <c r="M19" i="28"/>
  <c r="L19" i="28"/>
  <c r="M10" i="28"/>
  <c r="L10" i="28"/>
  <c r="O12" i="28" s="1"/>
  <c r="M9" i="28"/>
  <c r="L9" i="28"/>
  <c r="M5" i="28"/>
  <c r="L5" i="28"/>
  <c r="O7" i="28" s="1"/>
  <c r="M4" i="28"/>
  <c r="L4" i="28"/>
  <c r="M3" i="28"/>
  <c r="L3" i="28"/>
  <c r="M14" i="15"/>
  <c r="L14" i="15"/>
  <c r="M13" i="15"/>
  <c r="L13" i="15"/>
  <c r="M11" i="15"/>
  <c r="L11" i="15"/>
  <c r="M10" i="15"/>
  <c r="L10" i="15"/>
  <c r="M6" i="15"/>
  <c r="L6" i="15"/>
  <c r="M5" i="15"/>
  <c r="L5" i="15"/>
  <c r="L52" i="15"/>
  <c r="L51" i="15"/>
  <c r="L38" i="15"/>
  <c r="L31" i="15"/>
  <c r="L32" i="28" s="1"/>
  <c r="L24" i="15"/>
  <c r="L30" i="15" s="1"/>
  <c r="L31" i="28" s="1"/>
  <c r="M15" i="14"/>
  <c r="M14" i="14"/>
  <c r="M12" i="14"/>
  <c r="M11" i="14"/>
  <c r="M7" i="14"/>
  <c r="M6" i="14"/>
  <c r="M54" i="14"/>
  <c r="M41" i="14"/>
  <c r="M40" i="14"/>
  <c r="M46" i="14" s="1"/>
  <c r="M47" i="14" s="1"/>
  <c r="X10" i="14" l="1"/>
  <c r="W9" i="14"/>
  <c r="U34" i="28"/>
  <c r="M38" i="28"/>
  <c r="N12" i="34"/>
  <c r="M37" i="28"/>
  <c r="M43" i="28" s="1"/>
  <c r="M44" i="28" s="1"/>
  <c r="N16" i="15"/>
  <c r="N15" i="15"/>
  <c r="M12" i="34"/>
  <c r="M18" i="34"/>
  <c r="O17" i="14"/>
  <c r="O16" i="14"/>
  <c r="N18" i="34"/>
  <c r="N6" i="34"/>
  <c r="M6" i="34"/>
  <c r="N17" i="14"/>
  <c r="N46" i="14"/>
  <c r="N47" i="14" s="1"/>
  <c r="L38" i="28"/>
  <c r="M16" i="15"/>
  <c r="M15" i="15"/>
  <c r="L25" i="28"/>
  <c r="L37" i="28" s="1"/>
  <c r="L43" i="28" s="1"/>
  <c r="L44" i="28" s="1"/>
  <c r="N16" i="14"/>
  <c r="L14" i="28"/>
  <c r="L15" i="28"/>
  <c r="O17" i="28" s="1"/>
  <c r="M14" i="28"/>
  <c r="M15" i="28"/>
  <c r="L26" i="15"/>
  <c r="L37" i="15"/>
  <c r="T16" i="34" l="1"/>
  <c r="U16" i="34"/>
  <c r="V16" i="34"/>
  <c r="W16" i="34"/>
  <c r="X16" i="34"/>
  <c r="Y16" i="34"/>
  <c r="Y10" i="14"/>
  <c r="W34" i="28"/>
  <c r="V34" i="28"/>
  <c r="X9" i="14"/>
  <c r="M39" i="28"/>
  <c r="L44" i="15"/>
  <c r="L45" i="15" s="1"/>
  <c r="V21" i="29" l="1"/>
  <c r="V18" i="29"/>
  <c r="X21" i="29"/>
  <c r="X22" i="28" s="1"/>
  <c r="X18" i="29"/>
  <c r="X19" i="28" s="1"/>
  <c r="U21" i="29"/>
  <c r="U18" i="29"/>
  <c r="T21" i="29"/>
  <c r="T18" i="29"/>
  <c r="W18" i="29"/>
  <c r="W21" i="29"/>
  <c r="S21" i="29"/>
  <c r="S18" i="29"/>
  <c r="Y9" i="14"/>
  <c r="X30" i="29" l="1"/>
  <c r="X31" i="28" s="1"/>
  <c r="X37" i="29"/>
  <c r="T37" i="29"/>
  <c r="W22" i="28"/>
  <c r="W30" i="29"/>
  <c r="W31" i="28" s="1"/>
  <c r="V37" i="29"/>
  <c r="S37" i="29"/>
  <c r="S30" i="29"/>
  <c r="T30" i="29"/>
  <c r="U30" i="29"/>
  <c r="W37" i="29"/>
  <c r="W19" i="28"/>
  <c r="U37" i="29"/>
  <c r="V30" i="29"/>
  <c r="X43" i="29" l="1"/>
  <c r="S43" i="29"/>
  <c r="S46" i="29" s="1"/>
  <c r="S48" i="29" s="1"/>
  <c r="V43" i="29"/>
  <c r="V46" i="29" s="1"/>
  <c r="V48" i="29" s="1"/>
  <c r="T43" i="29"/>
  <c r="T46" i="29" s="1"/>
  <c r="T48" i="29" s="1"/>
  <c r="U43" i="29"/>
  <c r="U46" i="29" s="1"/>
  <c r="U48" i="29" s="1"/>
  <c r="W43" i="29"/>
  <c r="W46" i="29" s="1"/>
  <c r="X46" i="29" l="1"/>
  <c r="W48" i="29"/>
  <c r="X48" i="29" l="1"/>
  <c r="AF16" i="14"/>
  <c r="AG16" i="14" s="1"/>
  <c r="AK16" i="14" s="1"/>
  <c r="AL16" i="14" s="1"/>
  <c r="AM16" i="14" s="1"/>
  <c r="AN16" i="14" s="1"/>
  <c r="F31" i="15" l="1"/>
  <c r="K52" i="15" l="1"/>
  <c r="M52" i="15"/>
  <c r="L54" i="14"/>
  <c r="N26" i="28" l="1"/>
  <c r="N28" i="28"/>
  <c r="N29" i="28"/>
  <c r="N40" i="28"/>
  <c r="N41" i="28"/>
  <c r="M26" i="15" l="1"/>
  <c r="K26" i="15"/>
  <c r="I26" i="15"/>
  <c r="M51" i="15" l="1"/>
  <c r="O3" i="14" l="1"/>
  <c r="O2" i="34"/>
  <c r="M37" i="15"/>
  <c r="N2" i="15"/>
  <c r="M38" i="15"/>
  <c r="M31" i="15"/>
  <c r="M32" i="28" s="1"/>
  <c r="M44" i="15" l="1"/>
  <c r="M45" i="15" s="1"/>
  <c r="S45" i="15" s="1"/>
  <c r="M30" i="15"/>
  <c r="M31" i="28" s="1"/>
  <c r="K3" i="28"/>
  <c r="J3" i="28"/>
  <c r="J4" i="28"/>
  <c r="J5" i="28"/>
  <c r="J9" i="28"/>
  <c r="J10" i="28"/>
  <c r="J19" i="28"/>
  <c r="J20" i="28"/>
  <c r="J23" i="28"/>
  <c r="J26" i="28"/>
  <c r="J28" i="28"/>
  <c r="J29" i="28"/>
  <c r="J34" i="28"/>
  <c r="J35" i="28"/>
  <c r="J40" i="28"/>
  <c r="J41" i="28"/>
  <c r="J46" i="28"/>
  <c r="C3" i="28"/>
  <c r="D3" i="28"/>
  <c r="E3" i="28"/>
  <c r="F3" i="28"/>
  <c r="G3" i="28"/>
  <c r="H3" i="28"/>
  <c r="I3" i="28"/>
  <c r="D54" i="14"/>
  <c r="E54" i="14"/>
  <c r="F54" i="14"/>
  <c r="H54" i="14"/>
  <c r="I54" i="14"/>
  <c r="J54" i="14"/>
  <c r="K54" i="14"/>
  <c r="C51" i="15"/>
  <c r="D51" i="15"/>
  <c r="E51" i="15"/>
  <c r="F51" i="15"/>
  <c r="G51" i="15"/>
  <c r="H51" i="15"/>
  <c r="I51" i="15"/>
  <c r="J51" i="15"/>
  <c r="C52" i="15"/>
  <c r="D52" i="15"/>
  <c r="E52" i="15"/>
  <c r="F52" i="15"/>
  <c r="G52" i="15"/>
  <c r="H52" i="15"/>
  <c r="I52" i="15"/>
  <c r="J52" i="15"/>
  <c r="L5" i="34"/>
  <c r="Q7" i="34" s="1"/>
  <c r="L17" i="34"/>
  <c r="Q19" i="34" s="1"/>
  <c r="L11" i="34"/>
  <c r="Q13" i="34" s="1"/>
  <c r="L16" i="34"/>
  <c r="K16" i="34"/>
  <c r="K17" i="34"/>
  <c r="P19" i="34" s="1"/>
  <c r="L10" i="34"/>
  <c r="L12" i="34" s="1"/>
  <c r="K11" i="34"/>
  <c r="P13" i="34" s="1"/>
  <c r="L4" i="34"/>
  <c r="K4" i="34"/>
  <c r="K5" i="34"/>
  <c r="P7" i="34" s="1"/>
  <c r="L14" i="14"/>
  <c r="K15" i="14"/>
  <c r="L15" i="14"/>
  <c r="K14" i="14"/>
  <c r="L12" i="14"/>
  <c r="K12" i="14"/>
  <c r="L11" i="14"/>
  <c r="K11" i="14"/>
  <c r="L7" i="14"/>
  <c r="K7" i="14"/>
  <c r="L6" i="14"/>
  <c r="K6" i="14"/>
  <c r="K40" i="14"/>
  <c r="K46" i="14" s="1"/>
  <c r="K47" i="14" s="1"/>
  <c r="K44" i="14"/>
  <c r="K41" i="14"/>
  <c r="K51" i="15"/>
  <c r="K37" i="15"/>
  <c r="K44" i="15" s="1"/>
  <c r="K45" i="15" s="1"/>
  <c r="K38" i="15"/>
  <c r="J38" i="15"/>
  <c r="K31" i="15"/>
  <c r="K32" i="28" s="1"/>
  <c r="J31" i="15"/>
  <c r="K30" i="15"/>
  <c r="K31" i="28" s="1"/>
  <c r="K13" i="15"/>
  <c r="J14" i="15"/>
  <c r="K14" i="15"/>
  <c r="J13" i="15"/>
  <c r="K11" i="15"/>
  <c r="J11" i="15"/>
  <c r="K10" i="15"/>
  <c r="J10" i="15"/>
  <c r="K6" i="15"/>
  <c r="K5" i="15"/>
  <c r="J6" i="15"/>
  <c r="J5" i="15"/>
  <c r="J21" i="15"/>
  <c r="J22" i="28" s="1"/>
  <c r="J24" i="15"/>
  <c r="D11" i="34"/>
  <c r="O14" i="34" s="1"/>
  <c r="T28" i="28"/>
  <c r="Y28" i="28" s="1"/>
  <c r="Z28" i="28" s="1"/>
  <c r="AA28" i="28" s="1"/>
  <c r="AB28" i="28" s="1"/>
  <c r="AC28" i="28" s="1"/>
  <c r="AD28" i="28" s="1"/>
  <c r="AE28" i="28" s="1"/>
  <c r="AF28" i="28" s="1"/>
  <c r="AG28" i="28" s="1"/>
  <c r="AH28" i="28" s="1"/>
  <c r="AI28" i="28" s="1"/>
  <c r="AJ28" i="28" s="1"/>
  <c r="AK28" i="28" s="1"/>
  <c r="AL28" i="28" s="1"/>
  <c r="AM28" i="28" s="1"/>
  <c r="E37" i="15"/>
  <c r="E44" i="15" s="1"/>
  <c r="E45" i="15" s="1"/>
  <c r="F37" i="15"/>
  <c r="F44" i="15" s="1"/>
  <c r="F45" i="15" s="1"/>
  <c r="G37" i="15"/>
  <c r="G44" i="15" s="1"/>
  <c r="G45" i="15" s="1"/>
  <c r="H37" i="15"/>
  <c r="H44" i="15" s="1"/>
  <c r="H45" i="15" s="1"/>
  <c r="I37" i="15"/>
  <c r="L40" i="14"/>
  <c r="L46" i="14" s="1"/>
  <c r="L47" i="14" s="1"/>
  <c r="D22" i="14"/>
  <c r="D25" i="14"/>
  <c r="E22" i="14"/>
  <c r="E25" i="14"/>
  <c r="F22" i="14"/>
  <c r="F25" i="14"/>
  <c r="G40" i="14"/>
  <c r="G46" i="14" s="1"/>
  <c r="G47" i="14" s="1"/>
  <c r="H40" i="14"/>
  <c r="H46" i="14" s="1"/>
  <c r="H47" i="14" s="1"/>
  <c r="I40" i="14"/>
  <c r="I46" i="14" s="1"/>
  <c r="I47" i="14" s="1"/>
  <c r="J40" i="14"/>
  <c r="J46" i="14" s="1"/>
  <c r="J47" i="14" s="1"/>
  <c r="D23" i="14"/>
  <c r="J16" i="34"/>
  <c r="J17" i="34"/>
  <c r="J10" i="34"/>
  <c r="J11" i="34"/>
  <c r="J4" i="34"/>
  <c r="J5" i="34"/>
  <c r="K46" i="28"/>
  <c r="I46" i="28"/>
  <c r="K4" i="28"/>
  <c r="K9" i="28"/>
  <c r="K19" i="28"/>
  <c r="K22" i="28"/>
  <c r="K25" i="28"/>
  <c r="K28" i="28"/>
  <c r="K34" i="28"/>
  <c r="K40" i="28"/>
  <c r="I4" i="28"/>
  <c r="I9" i="28"/>
  <c r="I19" i="28"/>
  <c r="I22" i="28"/>
  <c r="I25" i="28"/>
  <c r="I28" i="28"/>
  <c r="I34" i="28"/>
  <c r="I40" i="28"/>
  <c r="K41" i="28"/>
  <c r="I41" i="28"/>
  <c r="K5" i="28"/>
  <c r="K10" i="28"/>
  <c r="K20" i="28"/>
  <c r="K23" i="28"/>
  <c r="K26" i="28"/>
  <c r="K29" i="28"/>
  <c r="K35" i="28"/>
  <c r="I5" i="28"/>
  <c r="I10" i="28"/>
  <c r="I20" i="28"/>
  <c r="I23" i="28"/>
  <c r="I26" i="28"/>
  <c r="I29" i="28"/>
  <c r="I35" i="28"/>
  <c r="I31" i="15"/>
  <c r="I30" i="15"/>
  <c r="I31" i="28" s="1"/>
  <c r="H5" i="28"/>
  <c r="H10" i="28"/>
  <c r="N3" i="28"/>
  <c r="I14" i="15"/>
  <c r="I13" i="15"/>
  <c r="H14" i="15"/>
  <c r="I11" i="15"/>
  <c r="I10" i="15"/>
  <c r="I6" i="15"/>
  <c r="I5" i="15"/>
  <c r="I38" i="15"/>
  <c r="J7" i="14"/>
  <c r="J6" i="14"/>
  <c r="L41" i="14"/>
  <c r="J15" i="14"/>
  <c r="J11" i="14"/>
  <c r="J12" i="14"/>
  <c r="J14" i="14"/>
  <c r="I15" i="14"/>
  <c r="J41" i="14"/>
  <c r="J44" i="14"/>
  <c r="O2" i="15"/>
  <c r="P3" i="14"/>
  <c r="I16" i="34"/>
  <c r="I17" i="34"/>
  <c r="S20" i="34" s="1"/>
  <c r="I10" i="34"/>
  <c r="I11" i="34"/>
  <c r="S14" i="34" s="1"/>
  <c r="I4" i="34"/>
  <c r="I5" i="34"/>
  <c r="H46" i="28"/>
  <c r="H4" i="28"/>
  <c r="H9" i="28"/>
  <c r="H19" i="28"/>
  <c r="H22" i="28"/>
  <c r="H25" i="28"/>
  <c r="H28" i="28"/>
  <c r="H34" i="28"/>
  <c r="H40" i="28"/>
  <c r="H41" i="28"/>
  <c r="H20" i="28"/>
  <c r="H23" i="28"/>
  <c r="H26" i="28"/>
  <c r="H29" i="28"/>
  <c r="H35" i="28"/>
  <c r="H31" i="15"/>
  <c r="H32" i="28" s="1"/>
  <c r="H30" i="15"/>
  <c r="H31" i="28" s="1"/>
  <c r="G5" i="28"/>
  <c r="G10" i="28"/>
  <c r="I14" i="14"/>
  <c r="H15" i="14"/>
  <c r="I12" i="14"/>
  <c r="I11" i="14"/>
  <c r="I7" i="14"/>
  <c r="I6" i="14"/>
  <c r="I44" i="14"/>
  <c r="I41" i="14"/>
  <c r="H13" i="15"/>
  <c r="G14" i="15"/>
  <c r="G13" i="15"/>
  <c r="F14" i="15"/>
  <c r="H11" i="15"/>
  <c r="G11" i="15"/>
  <c r="H10" i="15"/>
  <c r="G10" i="15"/>
  <c r="H6" i="15"/>
  <c r="G6" i="15"/>
  <c r="H5" i="15"/>
  <c r="G5" i="15"/>
  <c r="H38" i="15"/>
  <c r="F17" i="34"/>
  <c r="P20" i="34" s="1"/>
  <c r="C37" i="15"/>
  <c r="C44" i="15" s="1"/>
  <c r="C45" i="15" s="1"/>
  <c r="D37" i="15"/>
  <c r="D44" i="15" s="1"/>
  <c r="D45" i="15" s="1"/>
  <c r="P2" i="34"/>
  <c r="Q2" i="34" s="1"/>
  <c r="R2" i="34" s="1"/>
  <c r="S2" i="34" s="1"/>
  <c r="T2" i="34" s="1"/>
  <c r="U2" i="34" s="1"/>
  <c r="V2" i="34" s="1"/>
  <c r="W2" i="34" s="1"/>
  <c r="X2" i="34" s="1"/>
  <c r="Y2" i="34" s="1"/>
  <c r="S28" i="28"/>
  <c r="S29" i="28"/>
  <c r="H5" i="34"/>
  <c r="R8" i="34" s="1"/>
  <c r="H17" i="34"/>
  <c r="R20" i="34" s="1"/>
  <c r="H11" i="34"/>
  <c r="R14" i="34" s="1"/>
  <c r="H16" i="34"/>
  <c r="G16" i="34"/>
  <c r="G17" i="34"/>
  <c r="F16" i="34"/>
  <c r="E16" i="34"/>
  <c r="E17" i="34"/>
  <c r="D16" i="34"/>
  <c r="D17" i="34"/>
  <c r="H10" i="34"/>
  <c r="G10" i="34"/>
  <c r="G11" i="34"/>
  <c r="Q14" i="34" s="1"/>
  <c r="F10" i="34"/>
  <c r="F11" i="34"/>
  <c r="P14" i="34" s="1"/>
  <c r="E10" i="34"/>
  <c r="E11" i="34"/>
  <c r="D10" i="34"/>
  <c r="E23" i="14"/>
  <c r="F5" i="34"/>
  <c r="P8" i="34" s="1"/>
  <c r="G5" i="34"/>
  <c r="Q8" i="34" s="1"/>
  <c r="F4" i="34"/>
  <c r="G4" i="34"/>
  <c r="H4" i="34"/>
  <c r="D4" i="34"/>
  <c r="H7" i="14"/>
  <c r="P28" i="28"/>
  <c r="Q28" i="28"/>
  <c r="R28" i="28"/>
  <c r="G46" i="28"/>
  <c r="G4" i="28"/>
  <c r="G9" i="28"/>
  <c r="G19" i="28"/>
  <c r="G22" i="28"/>
  <c r="G25" i="28"/>
  <c r="G28" i="28"/>
  <c r="G34" i="28"/>
  <c r="G40" i="28"/>
  <c r="G41" i="28"/>
  <c r="D40" i="28"/>
  <c r="D41" i="28"/>
  <c r="G35" i="28"/>
  <c r="G30" i="15"/>
  <c r="R29" i="28"/>
  <c r="Q29" i="28"/>
  <c r="P29" i="28"/>
  <c r="G29" i="28"/>
  <c r="P26" i="28"/>
  <c r="G26" i="28"/>
  <c r="G23" i="28"/>
  <c r="G20" i="28"/>
  <c r="F5" i="28"/>
  <c r="F10" i="28"/>
  <c r="G7" i="14"/>
  <c r="G38" i="15"/>
  <c r="H41" i="14"/>
  <c r="H14" i="14"/>
  <c r="G15" i="14"/>
  <c r="H12" i="14"/>
  <c r="H11" i="14"/>
  <c r="H6" i="14"/>
  <c r="G14" i="14"/>
  <c r="F15" i="14"/>
  <c r="F14" i="14"/>
  <c r="E15" i="14"/>
  <c r="G12" i="14"/>
  <c r="F12" i="14"/>
  <c r="G11" i="14"/>
  <c r="F11" i="14"/>
  <c r="F7" i="14"/>
  <c r="G6" i="14"/>
  <c r="F6" i="14"/>
  <c r="F41" i="14"/>
  <c r="D26" i="14"/>
  <c r="E26" i="14"/>
  <c r="G41" i="14"/>
  <c r="E7" i="14"/>
  <c r="E14" i="14"/>
  <c r="D15" i="14"/>
  <c r="D14" i="14"/>
  <c r="E12" i="14"/>
  <c r="E11" i="14"/>
  <c r="E6" i="14"/>
  <c r="F13" i="15"/>
  <c r="E14" i="15"/>
  <c r="E13" i="15"/>
  <c r="D14" i="15"/>
  <c r="F11" i="15"/>
  <c r="E11" i="15"/>
  <c r="F10" i="15"/>
  <c r="E10" i="15"/>
  <c r="F6" i="15"/>
  <c r="E6" i="15"/>
  <c r="F5" i="15"/>
  <c r="E5" i="15"/>
  <c r="E38" i="15"/>
  <c r="E31" i="15"/>
  <c r="E30" i="15"/>
  <c r="F38" i="15"/>
  <c r="F30" i="15"/>
  <c r="F31" i="28" s="1"/>
  <c r="D13" i="15"/>
  <c r="C14" i="15"/>
  <c r="C13" i="15"/>
  <c r="D38" i="15"/>
  <c r="C38" i="15"/>
  <c r="D6" i="15"/>
  <c r="D11" i="15"/>
  <c r="D31" i="15"/>
  <c r="D32" i="28" s="1"/>
  <c r="D30" i="15"/>
  <c r="D31" i="28" s="1"/>
  <c r="C31" i="15"/>
  <c r="C30" i="15"/>
  <c r="D10" i="15"/>
  <c r="D5" i="15"/>
  <c r="F4" i="28"/>
  <c r="F9" i="28"/>
  <c r="E5" i="28"/>
  <c r="E10" i="28"/>
  <c r="E4" i="28"/>
  <c r="E9" i="28"/>
  <c r="D5" i="28"/>
  <c r="D10" i="28"/>
  <c r="E46" i="28"/>
  <c r="E19" i="28"/>
  <c r="E22" i="28"/>
  <c r="E25" i="28"/>
  <c r="E28" i="28"/>
  <c r="E34" i="28"/>
  <c r="E40" i="28"/>
  <c r="E41" i="28"/>
  <c r="E20" i="28"/>
  <c r="E23" i="28"/>
  <c r="E26" i="28"/>
  <c r="E29" i="28"/>
  <c r="E35" i="28"/>
  <c r="F46" i="28"/>
  <c r="F19" i="28"/>
  <c r="F22" i="28"/>
  <c r="F25" i="28"/>
  <c r="F28" i="28"/>
  <c r="F34" i="28"/>
  <c r="F40" i="28"/>
  <c r="F41" i="28"/>
  <c r="F20" i="28"/>
  <c r="F23" i="28"/>
  <c r="F26" i="28"/>
  <c r="F29" i="28"/>
  <c r="F35" i="28"/>
  <c r="C46" i="28"/>
  <c r="D46" i="28"/>
  <c r="C4" i="28"/>
  <c r="C9" i="28"/>
  <c r="C19" i="28"/>
  <c r="C22" i="28"/>
  <c r="C25" i="28"/>
  <c r="C28" i="28"/>
  <c r="C34" i="28"/>
  <c r="C40" i="28"/>
  <c r="D4" i="28"/>
  <c r="D9" i="28"/>
  <c r="D19" i="28"/>
  <c r="D22" i="28"/>
  <c r="D25" i="28"/>
  <c r="D28" i="28"/>
  <c r="D34" i="28"/>
  <c r="C5" i="28"/>
  <c r="C10" i="28"/>
  <c r="C41" i="28"/>
  <c r="D35" i="28"/>
  <c r="C35" i="28"/>
  <c r="D29" i="28"/>
  <c r="C29" i="28"/>
  <c r="D26" i="28"/>
  <c r="C26" i="28"/>
  <c r="D23" i="28"/>
  <c r="C23" i="28"/>
  <c r="D20" i="28"/>
  <c r="C20" i="28"/>
  <c r="F32" i="28"/>
  <c r="S6" i="15"/>
  <c r="T6" i="15" s="1"/>
  <c r="U6" i="15" s="1"/>
  <c r="V6" i="15" s="1"/>
  <c r="W6" i="15" s="1"/>
  <c r="X6" i="15" s="1"/>
  <c r="G31" i="28"/>
  <c r="G32" i="28"/>
  <c r="K15" i="15"/>
  <c r="J37" i="15"/>
  <c r="D17" i="14" l="1"/>
  <c r="H18" i="34"/>
  <c r="J30" i="15"/>
  <c r="J31" i="28" s="1"/>
  <c r="K10" i="34"/>
  <c r="K12" i="34" s="1"/>
  <c r="E41" i="14"/>
  <c r="E16" i="14"/>
  <c r="D16" i="14"/>
  <c r="E17" i="14"/>
  <c r="E34" i="14"/>
  <c r="J16" i="15"/>
  <c r="D15" i="15"/>
  <c r="H16" i="15"/>
  <c r="D16" i="15"/>
  <c r="E15" i="15"/>
  <c r="G16" i="15"/>
  <c r="I15" i="15"/>
  <c r="Q20" i="34"/>
  <c r="O3" i="28"/>
  <c r="P3" i="28" s="1"/>
  <c r="Q3" i="28" s="1"/>
  <c r="R3" i="28" s="1"/>
  <c r="S3" i="28" s="1"/>
  <c r="T3" i="28" s="1"/>
  <c r="U3" i="28" s="1"/>
  <c r="V3" i="28" s="1"/>
  <c r="W3" i="28" s="1"/>
  <c r="X3" i="28" s="1"/>
  <c r="Y3" i="28" s="1"/>
  <c r="Z3" i="28" s="1"/>
  <c r="AA3" i="28" s="1"/>
  <c r="AB3" i="28" s="1"/>
  <c r="AC3" i="28" s="1"/>
  <c r="AD3" i="28" s="1"/>
  <c r="AE3" i="28" s="1"/>
  <c r="AF3" i="28" s="1"/>
  <c r="AG3" i="28" s="1"/>
  <c r="AH3" i="28" s="1"/>
  <c r="AI3" i="28" s="1"/>
  <c r="AJ3" i="28" s="1"/>
  <c r="AK3" i="28" s="1"/>
  <c r="AL3" i="28" s="1"/>
  <c r="AM3" i="28" s="1"/>
  <c r="F16" i="15"/>
  <c r="I16" i="15"/>
  <c r="G15" i="15"/>
  <c r="C31" i="28"/>
  <c r="K16" i="15"/>
  <c r="E32" i="28"/>
  <c r="E16" i="15"/>
  <c r="H15" i="15"/>
  <c r="E31" i="28"/>
  <c r="J15" i="15"/>
  <c r="C32" i="28"/>
  <c r="F15" i="15"/>
  <c r="E6" i="28"/>
  <c r="I12" i="34"/>
  <c r="G16" i="14"/>
  <c r="F34" i="14"/>
  <c r="D34" i="14"/>
  <c r="E4" i="34"/>
  <c r="D41" i="14"/>
  <c r="K17" i="14"/>
  <c r="J16" i="14"/>
  <c r="I17" i="14"/>
  <c r="F17" i="14"/>
  <c r="G17" i="14"/>
  <c r="D12" i="28"/>
  <c r="C14" i="28"/>
  <c r="D15" i="28"/>
  <c r="E15" i="28"/>
  <c r="G12" i="28"/>
  <c r="H14" i="28"/>
  <c r="F12" i="28"/>
  <c r="I14" i="28"/>
  <c r="K14" i="28"/>
  <c r="G11" i="28"/>
  <c r="F7" i="28"/>
  <c r="E12" i="34"/>
  <c r="I15" i="28"/>
  <c r="D14" i="28"/>
  <c r="D12" i="34"/>
  <c r="H6" i="28"/>
  <c r="K11" i="28"/>
  <c r="G12" i="34"/>
  <c r="H12" i="34"/>
  <c r="J12" i="34"/>
  <c r="E11" i="28"/>
  <c r="D11" i="28"/>
  <c r="I7" i="28"/>
  <c r="D6" i="28"/>
  <c r="F15" i="28"/>
  <c r="G14" i="28"/>
  <c r="F12" i="34"/>
  <c r="F11" i="28"/>
  <c r="E7" i="28"/>
  <c r="E37" i="28"/>
  <c r="E43" i="28" s="1"/>
  <c r="E44" i="28" s="1"/>
  <c r="H12" i="28"/>
  <c r="J14" i="28"/>
  <c r="F38" i="28"/>
  <c r="D38" i="28"/>
  <c r="C37" i="28"/>
  <c r="C43" i="28" s="1"/>
  <c r="C44" i="28" s="1"/>
  <c r="H38" i="28"/>
  <c r="I11" i="28"/>
  <c r="K15" i="28"/>
  <c r="M17" i="28" s="1"/>
  <c r="F37" i="28"/>
  <c r="F43" i="28" s="1"/>
  <c r="F44" i="28" s="1"/>
  <c r="H37" i="28"/>
  <c r="H43" i="28" s="1"/>
  <c r="H44" i="28" s="1"/>
  <c r="F14" i="28"/>
  <c r="G7" i="28"/>
  <c r="J7" i="28"/>
  <c r="I12" i="28"/>
  <c r="K12" i="28"/>
  <c r="E38" i="28"/>
  <c r="D37" i="28"/>
  <c r="D43" i="28" s="1"/>
  <c r="D44" i="28" s="1"/>
  <c r="E14" i="28"/>
  <c r="H15" i="28"/>
  <c r="H11" i="28"/>
  <c r="K38" i="28"/>
  <c r="L39" i="28" s="1"/>
  <c r="K7" i="28"/>
  <c r="J15" i="28"/>
  <c r="L17" i="28" s="1"/>
  <c r="I37" i="28"/>
  <c r="I43" i="28" s="1"/>
  <c r="I44" i="28" s="1"/>
  <c r="I38" i="28"/>
  <c r="J11" i="28"/>
  <c r="K6" i="28"/>
  <c r="K37" i="28"/>
  <c r="K43" i="28" s="1"/>
  <c r="K44" i="28" s="1"/>
  <c r="F6" i="28"/>
  <c r="C15" i="28"/>
  <c r="I6" i="28"/>
  <c r="G15" i="28"/>
  <c r="J6" i="28"/>
  <c r="D7" i="28"/>
  <c r="G6" i="28"/>
  <c r="H7" i="28"/>
  <c r="G37" i="28"/>
  <c r="G43" i="28" s="1"/>
  <c r="G44" i="28" s="1"/>
  <c r="J12" i="28"/>
  <c r="O13" i="34"/>
  <c r="E12" i="28"/>
  <c r="O20" i="34"/>
  <c r="O7" i="34"/>
  <c r="O19" i="34"/>
  <c r="T29" i="28"/>
  <c r="Y29" i="28" s="1"/>
  <c r="Z29" i="28" s="1"/>
  <c r="AA29" i="28" s="1"/>
  <c r="AB29" i="28" s="1"/>
  <c r="AC29" i="28" s="1"/>
  <c r="AD29" i="28" s="1"/>
  <c r="AE29" i="28" s="1"/>
  <c r="AF29" i="28" s="1"/>
  <c r="AG29" i="28" s="1"/>
  <c r="AH29" i="28" s="1"/>
  <c r="AI29" i="28" s="1"/>
  <c r="AJ29" i="28" s="1"/>
  <c r="AK29" i="28" s="1"/>
  <c r="AL29" i="28" s="1"/>
  <c r="AM29" i="28" s="1"/>
  <c r="L18" i="34"/>
  <c r="J38" i="28"/>
  <c r="L6" i="34"/>
  <c r="Q3" i="14"/>
  <c r="D35" i="14"/>
  <c r="E5" i="34"/>
  <c r="E35" i="14"/>
  <c r="D5" i="34"/>
  <c r="D6" i="34" s="1"/>
  <c r="F40" i="14"/>
  <c r="F46" i="14" s="1"/>
  <c r="F47" i="14" s="1"/>
  <c r="J17" i="14"/>
  <c r="M16" i="14"/>
  <c r="M17" i="14"/>
  <c r="J18" i="34"/>
  <c r="K18" i="34"/>
  <c r="M12" i="28"/>
  <c r="M11" i="28"/>
  <c r="J25" i="28"/>
  <c r="J37" i="28" s="1"/>
  <c r="J43" i="28" s="1"/>
  <c r="J44" i="28" s="1"/>
  <c r="J26" i="15"/>
  <c r="M7" i="28"/>
  <c r="M6" i="28"/>
  <c r="L15" i="15"/>
  <c r="L16" i="15"/>
  <c r="L12" i="28"/>
  <c r="L11" i="28"/>
  <c r="L6" i="28"/>
  <c r="L7" i="28"/>
  <c r="F18" i="34"/>
  <c r="G18" i="34"/>
  <c r="J44" i="15"/>
  <c r="J45" i="15" s="1"/>
  <c r="I44" i="15"/>
  <c r="I45" i="15" s="1"/>
  <c r="G6" i="34"/>
  <c r="I16" i="14"/>
  <c r="E40" i="14"/>
  <c r="E46" i="14" s="1"/>
  <c r="E47" i="14" s="1"/>
  <c r="D40" i="14"/>
  <c r="D46" i="14" s="1"/>
  <c r="D47" i="14" s="1"/>
  <c r="H17" i="14"/>
  <c r="K16" i="14"/>
  <c r="F16" i="14"/>
  <c r="N34" i="28"/>
  <c r="N35" i="28"/>
  <c r="N25" i="28"/>
  <c r="F6" i="34"/>
  <c r="H6" i="34"/>
  <c r="I6" i="34"/>
  <c r="K6" i="34"/>
  <c r="G38" i="28"/>
  <c r="E18" i="34"/>
  <c r="I18" i="34"/>
  <c r="I32" i="28"/>
  <c r="L16" i="14"/>
  <c r="H16" i="14"/>
  <c r="J6" i="34"/>
  <c r="L17" i="14"/>
  <c r="D18" i="34"/>
  <c r="P2" i="15"/>
  <c r="C38" i="28"/>
  <c r="J32" i="28"/>
  <c r="P41" i="28"/>
  <c r="F16" i="28" l="1"/>
  <c r="Z29" i="14"/>
  <c r="AA29" i="14" s="1"/>
  <c r="AB29" i="14" s="1"/>
  <c r="AC29" i="14" s="1"/>
  <c r="AD29" i="14" s="1"/>
  <c r="AE29" i="14" s="1"/>
  <c r="AF29" i="14" s="1"/>
  <c r="AG29" i="14" s="1"/>
  <c r="AH29" i="14" s="1"/>
  <c r="AI29" i="14" s="1"/>
  <c r="AJ29" i="14" s="1"/>
  <c r="AK29" i="14" s="1"/>
  <c r="AL29" i="14" s="1"/>
  <c r="AM29" i="14" s="1"/>
  <c r="AN29" i="14" s="1"/>
  <c r="F17" i="28"/>
  <c r="H39" i="28"/>
  <c r="E17" i="28"/>
  <c r="I39" i="28"/>
  <c r="J16" i="28"/>
  <c r="I17" i="28"/>
  <c r="E16" i="28"/>
  <c r="G16" i="28"/>
  <c r="I16" i="28"/>
  <c r="J17" i="28"/>
  <c r="L16" i="28"/>
  <c r="J39" i="28"/>
  <c r="K17" i="28"/>
  <c r="M16" i="28"/>
  <c r="K16" i="28"/>
  <c r="D17" i="28"/>
  <c r="K39" i="28"/>
  <c r="D16" i="28"/>
  <c r="G17" i="28"/>
  <c r="H16" i="28"/>
  <c r="H17" i="28"/>
  <c r="E6" i="34"/>
  <c r="O8" i="34"/>
  <c r="R3" i="14"/>
  <c r="N4" i="28"/>
  <c r="T37" i="14"/>
  <c r="N10" i="28"/>
  <c r="O35" i="14"/>
  <c r="P40" i="28"/>
  <c r="P35" i="28"/>
  <c r="Q26" i="28"/>
  <c r="P25" i="28"/>
  <c r="P34" i="28"/>
  <c r="Q41" i="28"/>
  <c r="O34" i="14"/>
  <c r="Z28" i="14" l="1"/>
  <c r="AA28" i="14" s="1"/>
  <c r="AB28" i="14" s="1"/>
  <c r="AC28" i="14" s="1"/>
  <c r="AD28" i="14" s="1"/>
  <c r="AE28" i="14" s="1"/>
  <c r="AF28" i="14" s="1"/>
  <c r="AG28" i="14" s="1"/>
  <c r="AH28" i="14" s="1"/>
  <c r="AI28" i="14" s="1"/>
  <c r="AJ28" i="14" s="1"/>
  <c r="AK28" i="14" s="1"/>
  <c r="AL28" i="14" s="1"/>
  <c r="AM28" i="14" s="1"/>
  <c r="AN28" i="14" s="1"/>
  <c r="N11" i="28"/>
  <c r="O11" i="28"/>
  <c r="T5" i="14"/>
  <c r="S3" i="14"/>
  <c r="Q35" i="28"/>
  <c r="U37" i="14"/>
  <c r="Q25" i="28"/>
  <c r="N9" i="28"/>
  <c r="Q40" i="28"/>
  <c r="R26" i="28"/>
  <c r="R2" i="15"/>
  <c r="Q34" i="28"/>
  <c r="R41" i="28"/>
  <c r="Y35" i="28" l="1"/>
  <c r="Y34" i="28" s="1"/>
  <c r="V37" i="14"/>
  <c r="T4" i="14"/>
  <c r="T3" i="14"/>
  <c r="U5" i="14"/>
  <c r="R35" i="28"/>
  <c r="R25" i="28"/>
  <c r="U43" i="14"/>
  <c r="N14" i="28"/>
  <c r="N12" i="28"/>
  <c r="R40" i="28"/>
  <c r="S26" i="28"/>
  <c r="P10" i="28"/>
  <c r="P11" i="28" s="1"/>
  <c r="Q35" i="14"/>
  <c r="R34" i="28"/>
  <c r="S2" i="15"/>
  <c r="T41" i="28"/>
  <c r="Y41" i="28" s="1"/>
  <c r="Z41" i="28" s="1"/>
  <c r="AA41" i="28" s="1"/>
  <c r="AB41" i="28" s="1"/>
  <c r="AC41" i="28" s="1"/>
  <c r="AD41" i="28" s="1"/>
  <c r="AE41" i="28" s="1"/>
  <c r="AF41" i="28" s="1"/>
  <c r="AG41" i="28" s="1"/>
  <c r="AH41" i="28" s="1"/>
  <c r="AI41" i="28" s="1"/>
  <c r="AJ41" i="28" s="1"/>
  <c r="AK41" i="28" s="1"/>
  <c r="AL41" i="28" s="1"/>
  <c r="AM41" i="28" s="1"/>
  <c r="S41" i="28"/>
  <c r="Z35" i="28" l="1"/>
  <c r="AA35" i="28" s="1"/>
  <c r="AB35" i="28" s="1"/>
  <c r="AC35" i="28" s="1"/>
  <c r="AD35" i="28" s="1"/>
  <c r="AE35" i="28" s="1"/>
  <c r="AF35" i="28" s="1"/>
  <c r="AG35" i="28" s="1"/>
  <c r="AH35" i="28" s="1"/>
  <c r="AI35" i="28" s="1"/>
  <c r="AJ35" i="28" s="1"/>
  <c r="AK35" i="28" s="1"/>
  <c r="AL35" i="28" s="1"/>
  <c r="AM35" i="28" s="1"/>
  <c r="V5" i="14"/>
  <c r="W37" i="14"/>
  <c r="V43" i="14"/>
  <c r="P9" i="28"/>
  <c r="P12" i="28" s="1"/>
  <c r="U4" i="14"/>
  <c r="S25" i="28"/>
  <c r="Y25" i="28" s="1"/>
  <c r="U3" i="14"/>
  <c r="T35" i="28"/>
  <c r="S35" i="28"/>
  <c r="T44" i="14"/>
  <c r="R15" i="14"/>
  <c r="S40" i="28"/>
  <c r="T25" i="28"/>
  <c r="T26" i="28"/>
  <c r="S4" i="15"/>
  <c r="Q10" i="28"/>
  <c r="R35" i="14"/>
  <c r="R41" i="14"/>
  <c r="S34" i="28"/>
  <c r="T2" i="15"/>
  <c r="Z34" i="28" l="1"/>
  <c r="AA34" i="28" s="1"/>
  <c r="AB34" i="28" s="1"/>
  <c r="AC34" i="28" s="1"/>
  <c r="AD34" i="28" s="1"/>
  <c r="AE34" i="28" s="1"/>
  <c r="AF34" i="28" s="1"/>
  <c r="AG34" i="28" s="1"/>
  <c r="AH34" i="28" s="1"/>
  <c r="AI34" i="28" s="1"/>
  <c r="AJ34" i="28" s="1"/>
  <c r="AK34" i="28" s="1"/>
  <c r="AL34" i="28" s="1"/>
  <c r="AM34" i="28" s="1"/>
  <c r="Z25" i="28"/>
  <c r="Y26" i="28"/>
  <c r="X37" i="14"/>
  <c r="V4" i="14"/>
  <c r="W5" i="14"/>
  <c r="U2" i="15"/>
  <c r="V15" i="14"/>
  <c r="V3" i="14"/>
  <c r="W43" i="14"/>
  <c r="U44" i="14"/>
  <c r="S3" i="15"/>
  <c r="R14" i="14"/>
  <c r="R17" i="14" s="1"/>
  <c r="R40" i="14"/>
  <c r="R46" i="14" s="1"/>
  <c r="S15" i="14"/>
  <c r="T9" i="14"/>
  <c r="R16" i="14"/>
  <c r="Q11" i="28"/>
  <c r="T40" i="28"/>
  <c r="T4" i="15"/>
  <c r="S9" i="15"/>
  <c r="R10" i="28"/>
  <c r="R11" i="28" s="1"/>
  <c r="Q9" i="28"/>
  <c r="R34" i="14"/>
  <c r="T34" i="28"/>
  <c r="AA25" i="28" l="1"/>
  <c r="Z26" i="28"/>
  <c r="R47" i="14"/>
  <c r="T47" i="14" s="1"/>
  <c r="Y37" i="14"/>
  <c r="W4" i="14"/>
  <c r="W14" i="14" s="1"/>
  <c r="V2" i="15"/>
  <c r="W15" i="14"/>
  <c r="W16" i="14" s="1"/>
  <c r="X5" i="14"/>
  <c r="V14" i="14"/>
  <c r="W3" i="14"/>
  <c r="V44" i="14"/>
  <c r="U4" i="15"/>
  <c r="R9" i="28"/>
  <c r="R12" i="28" s="1"/>
  <c r="T3" i="15"/>
  <c r="X43" i="14"/>
  <c r="T14" i="14"/>
  <c r="S14" i="14"/>
  <c r="S17" i="14" s="1"/>
  <c r="S16" i="14"/>
  <c r="T15" i="14"/>
  <c r="Q12" i="28"/>
  <c r="S8" i="15"/>
  <c r="S14" i="15"/>
  <c r="S15" i="15" s="1"/>
  <c r="S10" i="28"/>
  <c r="S11" i="28" s="1"/>
  <c r="T9" i="15"/>
  <c r="W2" i="15" l="1"/>
  <c r="AB25" i="28"/>
  <c r="AA26" i="28"/>
  <c r="Z37" i="14"/>
  <c r="AA37" i="14" s="1"/>
  <c r="AB37" i="14" s="1"/>
  <c r="AC37" i="14" s="1"/>
  <c r="AD37" i="14" s="1"/>
  <c r="AE37" i="14" s="1"/>
  <c r="AF37" i="14" s="1"/>
  <c r="AG37" i="14" s="1"/>
  <c r="AH37" i="14" s="1"/>
  <c r="AI37" i="14" s="1"/>
  <c r="AJ37" i="14" s="1"/>
  <c r="AK37" i="14" s="1"/>
  <c r="AL37" i="14" s="1"/>
  <c r="AM37" i="14" s="1"/>
  <c r="AN37" i="14" s="1"/>
  <c r="Y43" i="14"/>
  <c r="Y5" i="14"/>
  <c r="V4" i="15"/>
  <c r="X3" i="14"/>
  <c r="W17" i="14"/>
  <c r="X4" i="14"/>
  <c r="X15" i="14"/>
  <c r="X16" i="14" s="1"/>
  <c r="U5" i="28"/>
  <c r="U3" i="15"/>
  <c r="W44" i="14"/>
  <c r="U9" i="15"/>
  <c r="T16" i="14"/>
  <c r="T17" i="14"/>
  <c r="U9" i="14"/>
  <c r="U15" i="14"/>
  <c r="S9" i="28"/>
  <c r="S13" i="15"/>
  <c r="T8" i="15"/>
  <c r="T14" i="15"/>
  <c r="T15" i="15" s="1"/>
  <c r="T10" i="28"/>
  <c r="X2" i="15" l="1"/>
  <c r="AC25" i="28"/>
  <c r="AB26" i="28"/>
  <c r="Y15" i="14"/>
  <c r="Y16" i="14" s="1"/>
  <c r="Y3" i="14"/>
  <c r="V3" i="15"/>
  <c r="W4" i="15"/>
  <c r="X14" i="14"/>
  <c r="X17" i="14" s="1"/>
  <c r="Y4" i="14"/>
  <c r="V9" i="15"/>
  <c r="V5" i="28"/>
  <c r="X44" i="14"/>
  <c r="U8" i="15"/>
  <c r="U10" i="28"/>
  <c r="U15" i="28" s="1"/>
  <c r="U4" i="28"/>
  <c r="T11" i="28"/>
  <c r="U14" i="15"/>
  <c r="U15" i="15" s="1"/>
  <c r="V17" i="14"/>
  <c r="V16" i="14"/>
  <c r="Z43" i="14"/>
  <c r="U14" i="14"/>
  <c r="U17" i="14" s="1"/>
  <c r="U16" i="14"/>
  <c r="T9" i="28"/>
  <c r="T13" i="15"/>
  <c r="T16" i="15" s="1"/>
  <c r="S16" i="15"/>
  <c r="S12" i="28"/>
  <c r="AD25" i="28" l="1"/>
  <c r="AC26" i="28"/>
  <c r="Z15" i="14"/>
  <c r="AA15" i="14" s="1"/>
  <c r="AB15" i="14" s="1"/>
  <c r="AC15" i="14" s="1"/>
  <c r="AD15" i="14" s="1"/>
  <c r="AE15" i="14" s="1"/>
  <c r="AF15" i="14" s="1"/>
  <c r="AG15" i="14" s="1"/>
  <c r="AH15" i="14" s="1"/>
  <c r="AI15" i="14" s="1"/>
  <c r="AJ15" i="14" s="1"/>
  <c r="AK15" i="14" s="1"/>
  <c r="AL15" i="14" s="1"/>
  <c r="AM15" i="14" s="1"/>
  <c r="Z3" i="14"/>
  <c r="AA3" i="14" s="1"/>
  <c r="AB3" i="14" s="1"/>
  <c r="AC3" i="14" s="1"/>
  <c r="AD3" i="14" s="1"/>
  <c r="AE3" i="14" s="1"/>
  <c r="AF3" i="14" s="1"/>
  <c r="AG3" i="14" s="1"/>
  <c r="AH3" i="14" s="1"/>
  <c r="AI3" i="14" s="1"/>
  <c r="AJ3" i="14" s="1"/>
  <c r="AK3" i="14" s="1"/>
  <c r="AL3" i="14" s="1"/>
  <c r="AM3" i="14" s="1"/>
  <c r="AN3" i="14" s="1"/>
  <c r="Y14" i="14"/>
  <c r="Y17" i="14" s="1"/>
  <c r="Z17" i="14" s="1"/>
  <c r="AA17" i="14" s="1"/>
  <c r="AB17" i="14" s="1"/>
  <c r="AC17" i="14" s="1"/>
  <c r="AD17" i="14" s="1"/>
  <c r="AE17" i="14" s="1"/>
  <c r="AF17" i="14" s="1"/>
  <c r="AG17" i="14" s="1"/>
  <c r="AH17" i="14" s="1"/>
  <c r="AI17" i="14" s="1"/>
  <c r="AJ17" i="14" s="1"/>
  <c r="AK17" i="14" s="1"/>
  <c r="AL17" i="14" s="1"/>
  <c r="AM17" i="14" s="1"/>
  <c r="AN17" i="14" s="1"/>
  <c r="V4" i="28"/>
  <c r="V7" i="28" s="1"/>
  <c r="X4" i="15"/>
  <c r="Y44" i="14"/>
  <c r="V8" i="15"/>
  <c r="W9" i="15"/>
  <c r="W5" i="28"/>
  <c r="W3" i="15"/>
  <c r="V9" i="28"/>
  <c r="V10" i="28"/>
  <c r="V11" i="28" s="1"/>
  <c r="U9" i="28"/>
  <c r="U12" i="28" s="1"/>
  <c r="V6" i="28"/>
  <c r="V14" i="15"/>
  <c r="V15" i="15" s="1"/>
  <c r="U11" i="28"/>
  <c r="U13" i="15"/>
  <c r="U16" i="15" s="1"/>
  <c r="AA43" i="14"/>
  <c r="Y40" i="28"/>
  <c r="T12" i="28"/>
  <c r="X3" i="15" l="1"/>
  <c r="X4" i="28" s="1"/>
  <c r="X5" i="28"/>
  <c r="X6" i="28" s="1"/>
  <c r="AE25" i="28"/>
  <c r="AD26" i="28"/>
  <c r="AN15" i="14"/>
  <c r="AN14" i="14" s="1"/>
  <c r="AM14" i="14"/>
  <c r="Z44" i="14"/>
  <c r="AA44" i="14" s="1"/>
  <c r="AB44" i="14" s="1"/>
  <c r="AC44" i="14" s="1"/>
  <c r="AD44" i="14" s="1"/>
  <c r="AE44" i="14" s="1"/>
  <c r="AF44" i="14" s="1"/>
  <c r="AG44" i="14" s="1"/>
  <c r="AH44" i="14" s="1"/>
  <c r="AI44" i="14" s="1"/>
  <c r="AJ44" i="14" s="1"/>
  <c r="AK44" i="14" s="1"/>
  <c r="AL44" i="14" s="1"/>
  <c r="AM44" i="14" s="1"/>
  <c r="AN44" i="14" s="1"/>
  <c r="V13" i="15"/>
  <c r="V16" i="15" s="1"/>
  <c r="W14" i="15"/>
  <c r="W15" i="15" s="1"/>
  <c r="X9" i="15"/>
  <c r="W38" i="15"/>
  <c r="W8" i="15"/>
  <c r="W10" i="28"/>
  <c r="W4" i="28"/>
  <c r="W6" i="28"/>
  <c r="U14" i="28"/>
  <c r="V15" i="28"/>
  <c r="V16" i="28" s="1"/>
  <c r="V12" i="28"/>
  <c r="V14" i="28"/>
  <c r="AJ14" i="14"/>
  <c r="AB43" i="14"/>
  <c r="Z40" i="28"/>
  <c r="AI14" i="14"/>
  <c r="X7" i="28" l="1"/>
  <c r="X10" i="28"/>
  <c r="X15" i="28" s="1"/>
  <c r="AF25" i="28"/>
  <c r="AE26" i="28"/>
  <c r="W11" i="28"/>
  <c r="W37" i="15"/>
  <c r="X38" i="15"/>
  <c r="X8" i="15"/>
  <c r="X14" i="15"/>
  <c r="X15" i="15" s="1"/>
  <c r="W13" i="15"/>
  <c r="W16" i="15" s="1"/>
  <c r="W15" i="28"/>
  <c r="W38" i="28"/>
  <c r="W9" i="28"/>
  <c r="W12" i="28" s="1"/>
  <c r="W7" i="28"/>
  <c r="V17" i="28"/>
  <c r="AK14" i="14"/>
  <c r="AL14" i="14"/>
  <c r="AC43" i="14"/>
  <c r="AA40" i="28"/>
  <c r="X11" i="28" l="1"/>
  <c r="X38" i="28"/>
  <c r="X13" i="15"/>
  <c r="X16" i="15" s="1"/>
  <c r="X9" i="28"/>
  <c r="AG25" i="28"/>
  <c r="AF26" i="28"/>
  <c r="W16" i="28"/>
  <c r="X16" i="28"/>
  <c r="X37" i="15"/>
  <c r="W37" i="28"/>
  <c r="W14" i="28"/>
  <c r="W17" i="28" s="1"/>
  <c r="AD43" i="14"/>
  <c r="AB40" i="28"/>
  <c r="X14" i="28" l="1"/>
  <c r="X17" i="28" s="1"/>
  <c r="X37" i="28"/>
  <c r="X12" i="28"/>
  <c r="AH25" i="28"/>
  <c r="AG26" i="28"/>
  <c r="AE43" i="14"/>
  <c r="AC40" i="28"/>
  <c r="Z14" i="14"/>
  <c r="AI25" i="28" l="1"/>
  <c r="AH26" i="28"/>
  <c r="AF43" i="14"/>
  <c r="AD40" i="28"/>
  <c r="AA14" i="14"/>
  <c r="AJ25" i="28" l="1"/>
  <c r="AI26" i="28"/>
  <c r="AG43" i="14"/>
  <c r="AE40" i="28"/>
  <c r="AB14" i="14"/>
  <c r="AK25" i="28" l="1"/>
  <c r="AJ26" i="28"/>
  <c r="AH43" i="14"/>
  <c r="AF40" i="28"/>
  <c r="AC14" i="14"/>
  <c r="AL25" i="28" l="1"/>
  <c r="AK26" i="28"/>
  <c r="AI43" i="14"/>
  <c r="AJ43" i="14" s="1"/>
  <c r="AG40" i="28"/>
  <c r="AD14" i="14"/>
  <c r="AM25" i="28" l="1"/>
  <c r="AM26" i="28" s="1"/>
  <c r="AL26" i="28"/>
  <c r="AK43" i="14"/>
  <c r="AH40" i="28"/>
  <c r="AE14" i="14"/>
  <c r="AL43" i="14" l="1"/>
  <c r="AI40" i="28"/>
  <c r="AF14" i="14"/>
  <c r="AM43" i="14" l="1"/>
  <c r="AJ40" i="28"/>
  <c r="AH14" i="14"/>
  <c r="AG14" i="14"/>
  <c r="AN43" i="14" l="1"/>
  <c r="AK40" i="28"/>
  <c r="AL40" i="28" l="1"/>
  <c r="N5" i="28"/>
  <c r="O6" i="28" s="1"/>
  <c r="AM40" i="28" l="1"/>
  <c r="P5" i="28"/>
  <c r="N7" i="28"/>
  <c r="N15" i="28"/>
  <c r="O16" i="28" s="1"/>
  <c r="N6" i="28"/>
  <c r="P6" i="28" l="1"/>
  <c r="P15" i="28"/>
  <c r="Q4" i="28"/>
  <c r="P4" i="28"/>
  <c r="N17" i="28"/>
  <c r="N16" i="28"/>
  <c r="Q5" i="28"/>
  <c r="P16" i="28" l="1"/>
  <c r="P14" i="28"/>
  <c r="P17" i="28" s="1"/>
  <c r="P7" i="28"/>
  <c r="Q14" i="28"/>
  <c r="Q7" i="28"/>
  <c r="R5" i="28"/>
  <c r="Q15" i="28"/>
  <c r="Q16" i="28" s="1"/>
  <c r="Q6" i="28"/>
  <c r="R4" i="28"/>
  <c r="Q17" i="28" l="1"/>
  <c r="R14" i="28"/>
  <c r="R7" i="28"/>
  <c r="S5" i="28"/>
  <c r="R6" i="28"/>
  <c r="R15" i="28"/>
  <c r="R16" i="28" s="1"/>
  <c r="T4" i="28" l="1"/>
  <c r="S6" i="28"/>
  <c r="S15" i="28"/>
  <c r="S16" i="28" s="1"/>
  <c r="S4" i="28"/>
  <c r="T5" i="28"/>
  <c r="R17" i="28"/>
  <c r="U7" i="28" l="1"/>
  <c r="U6" i="28"/>
  <c r="T7" i="28"/>
  <c r="T14" i="28"/>
  <c r="T6" i="28"/>
  <c r="T15" i="28"/>
  <c r="S7" i="28"/>
  <c r="S14" i="28"/>
  <c r="S17" i="28" s="1"/>
  <c r="U17" i="28" l="1"/>
  <c r="U16" i="28"/>
  <c r="T16" i="28"/>
  <c r="T17" i="28"/>
  <c r="Y15" i="28" l="1"/>
  <c r="Y17" i="28"/>
  <c r="Y14" i="28" l="1"/>
  <c r="Z17" i="28"/>
  <c r="Z15" i="28"/>
  <c r="Z14" i="28" l="1"/>
  <c r="AA17" i="28"/>
  <c r="AA15" i="28"/>
  <c r="AA14" i="28" l="1"/>
  <c r="AB17" i="28"/>
  <c r="AB15" i="28"/>
  <c r="AC15" i="28" l="1"/>
  <c r="AB14" i="28"/>
  <c r="AC17" i="28"/>
  <c r="AD15" i="28" l="1"/>
  <c r="AC14" i="28"/>
  <c r="AD17" i="28"/>
  <c r="AE15" i="28" l="1"/>
  <c r="AE17" i="28"/>
  <c r="AD14" i="28"/>
  <c r="AE14" i="28" l="1"/>
  <c r="AF17" i="28"/>
  <c r="AF15" i="28"/>
  <c r="AG17" i="28" l="1"/>
  <c r="AF14" i="28"/>
  <c r="AG15" i="28"/>
  <c r="AH15" i="28" l="1"/>
  <c r="AI15" i="28" s="1"/>
  <c r="AH17" i="28"/>
  <c r="AI17" i="28" s="1"/>
  <c r="AG14" i="28"/>
  <c r="AI14" i="28" l="1"/>
  <c r="AJ17" i="28"/>
  <c r="AK17" i="28" s="1"/>
  <c r="AJ15" i="28"/>
  <c r="AK15" i="28" s="1"/>
  <c r="AL15" i="28" s="1"/>
  <c r="AM15" i="28" s="1"/>
  <c r="AH14" i="28"/>
  <c r="O46" i="14"/>
  <c r="O47" i="14" s="1"/>
  <c r="AL17" i="28" l="1"/>
  <c r="AK14" i="28"/>
  <c r="AJ14" i="28"/>
  <c r="AL14" i="28" l="1"/>
  <c r="AM17" i="28"/>
  <c r="AM14" i="28" s="1"/>
  <c r="N20" i="28"/>
  <c r="N32" i="28"/>
  <c r="N31" i="28"/>
  <c r="N19" i="28"/>
  <c r="N22" i="28"/>
  <c r="N23" i="28"/>
  <c r="N37" i="28" l="1"/>
  <c r="N38" i="28"/>
  <c r="N46" i="28" l="1"/>
  <c r="N43" i="28" s="1"/>
  <c r="N44" i="28" s="1"/>
  <c r="P23" i="28" l="1"/>
  <c r="P32" i="28" l="1"/>
  <c r="P20" i="28"/>
  <c r="P38" i="28" s="1"/>
  <c r="R23" i="28" l="1"/>
  <c r="Q23" i="28"/>
  <c r="Q32" i="28"/>
  <c r="Q20" i="28"/>
  <c r="P31" i="28"/>
  <c r="P19" i="28"/>
  <c r="P22" i="28"/>
  <c r="R19" i="28" l="1"/>
  <c r="T20" i="28"/>
  <c r="S23" i="28"/>
  <c r="S20" i="28"/>
  <c r="Q22" i="28"/>
  <c r="Q19" i="28"/>
  <c r="Q38" i="28"/>
  <c r="R20" i="28"/>
  <c r="R38" i="28" s="1"/>
  <c r="Q31" i="28"/>
  <c r="R32" i="28"/>
  <c r="P43" i="28"/>
  <c r="P37" i="28"/>
  <c r="S38" i="28" l="1"/>
  <c r="S38" i="15"/>
  <c r="S31" i="15"/>
  <c r="S32" i="28" s="1"/>
  <c r="S19" i="28"/>
  <c r="Y19" i="28" s="1"/>
  <c r="S22" i="28"/>
  <c r="Y22" i="28" s="1"/>
  <c r="Q37" i="28"/>
  <c r="Q43" i="28"/>
  <c r="T23" i="28"/>
  <c r="T38" i="28" s="1"/>
  <c r="T38" i="15"/>
  <c r="T31" i="15"/>
  <c r="T32" i="28" s="1"/>
  <c r="R31" i="28"/>
  <c r="R22" i="28"/>
  <c r="R37" i="28" s="1"/>
  <c r="P44" i="28"/>
  <c r="Y23" i="28" l="1"/>
  <c r="Z22" i="28"/>
  <c r="Z19" i="28"/>
  <c r="Y20" i="28"/>
  <c r="U23" i="28"/>
  <c r="S37" i="28"/>
  <c r="S37" i="15"/>
  <c r="S44" i="15" s="1"/>
  <c r="S30" i="15"/>
  <c r="S31" i="28" s="1"/>
  <c r="U20" i="28"/>
  <c r="Q44" i="28"/>
  <c r="T22" i="28"/>
  <c r="U31" i="15"/>
  <c r="U32" i="28" s="1"/>
  <c r="T19" i="28"/>
  <c r="T30" i="15"/>
  <c r="T31" i="28" s="1"/>
  <c r="T37" i="15"/>
  <c r="U38" i="15"/>
  <c r="P46" i="28"/>
  <c r="AA19" i="28" l="1"/>
  <c r="Z20" i="28"/>
  <c r="AA22" i="28"/>
  <c r="Z23" i="28"/>
  <c r="U38" i="28"/>
  <c r="V20" i="28"/>
  <c r="V23" i="28"/>
  <c r="V31" i="15"/>
  <c r="V32" i="28" s="1"/>
  <c r="V38" i="15"/>
  <c r="U22" i="28"/>
  <c r="U19" i="28"/>
  <c r="T37" i="28"/>
  <c r="Q46" i="28"/>
  <c r="U30" i="15"/>
  <c r="U31" i="28" s="1"/>
  <c r="U37" i="15"/>
  <c r="AB19" i="28" l="1"/>
  <c r="AA20" i="28"/>
  <c r="AA23" i="28"/>
  <c r="AB22" i="28"/>
  <c r="V38" i="28"/>
  <c r="V22" i="28"/>
  <c r="V19" i="28"/>
  <c r="V30" i="15"/>
  <c r="V31" i="28" s="1"/>
  <c r="V37" i="15"/>
  <c r="U37" i="28"/>
  <c r="R46" i="28"/>
  <c r="AC19" i="28" l="1"/>
  <c r="AB20" i="28"/>
  <c r="AB23" i="28"/>
  <c r="AC22" i="28"/>
  <c r="V37" i="28"/>
  <c r="AD19" i="28" l="1"/>
  <c r="AC20" i="28"/>
  <c r="AD22" i="28"/>
  <c r="AC23" i="28"/>
  <c r="Y31" i="28"/>
  <c r="AE19" i="28" l="1"/>
  <c r="AD20" i="28"/>
  <c r="AE22" i="28"/>
  <c r="AD23" i="28"/>
  <c r="Y37" i="28"/>
  <c r="Z31" i="28"/>
  <c r="Y38" i="28"/>
  <c r="AF19" i="28" l="1"/>
  <c r="AE20" i="28"/>
  <c r="AF22" i="28"/>
  <c r="AE23" i="28"/>
  <c r="Z37" i="28"/>
  <c r="Y32" i="28"/>
  <c r="AA31" i="28"/>
  <c r="Z32" i="28"/>
  <c r="AG19" i="28" l="1"/>
  <c r="AF20" i="28"/>
  <c r="AG22" i="28"/>
  <c r="AF23" i="28"/>
  <c r="AA37" i="28"/>
  <c r="Z38" i="28"/>
  <c r="AB37" i="28"/>
  <c r="AA32" i="28"/>
  <c r="AH19" i="28" l="1"/>
  <c r="AG20" i="28"/>
  <c r="AH22" i="28"/>
  <c r="AG23" i="28"/>
  <c r="AB31" i="28"/>
  <c r="AA38" i="28"/>
  <c r="AC31" i="28"/>
  <c r="AB32" i="28"/>
  <c r="AI19" i="28" l="1"/>
  <c r="AH20" i="28"/>
  <c r="AI22" i="28"/>
  <c r="AH23" i="28"/>
  <c r="AC37" i="28"/>
  <c r="AB38" i="28"/>
  <c r="AD31" i="28"/>
  <c r="AC32" i="28"/>
  <c r="AJ19" i="28" l="1"/>
  <c r="AI20" i="28"/>
  <c r="AJ22" i="28"/>
  <c r="AI23" i="28"/>
  <c r="AD37" i="28"/>
  <c r="AC38" i="28"/>
  <c r="AE31" i="28"/>
  <c r="AD38" i="28"/>
  <c r="AK19" i="28" l="1"/>
  <c r="AJ20" i="28"/>
  <c r="AK22" i="28"/>
  <c r="AJ23" i="28"/>
  <c r="AE37" i="28"/>
  <c r="AD32" i="28"/>
  <c r="AF31" i="28"/>
  <c r="AE32" i="28"/>
  <c r="AL19" i="28" l="1"/>
  <c r="AK20" i="28"/>
  <c r="AL22" i="28"/>
  <c r="AK23" i="28"/>
  <c r="AF37" i="28"/>
  <c r="AE38" i="28"/>
  <c r="AG31" i="28"/>
  <c r="AF38" i="28"/>
  <c r="AM19" i="28" l="1"/>
  <c r="AM20" i="28" s="1"/>
  <c r="AL20" i="28"/>
  <c r="AM22" i="28"/>
  <c r="AM23" i="28" s="1"/>
  <c r="AL23" i="28"/>
  <c r="AG37" i="28"/>
  <c r="AF32" i="28"/>
  <c r="AG32" i="28"/>
  <c r="AM31" i="28" l="1"/>
  <c r="AM37" i="28"/>
  <c r="AL31" i="28"/>
  <c r="AL37" i="28"/>
  <c r="AK31" i="28"/>
  <c r="AK37" i="28"/>
  <c r="AH37" i="28"/>
  <c r="AI31" i="28"/>
  <c r="AH31" i="28"/>
  <c r="AH38" i="28"/>
  <c r="AG38" i="28"/>
  <c r="AI38" i="28"/>
  <c r="AI37" i="28"/>
  <c r="AM32" i="28" l="1"/>
  <c r="AM38" i="28"/>
  <c r="AL38" i="28"/>
  <c r="AL32" i="28"/>
  <c r="AK32" i="28"/>
  <c r="AK38" i="28"/>
  <c r="AH32" i="28"/>
  <c r="AJ38" i="28"/>
  <c r="AJ37" i="28"/>
  <c r="AI32" i="28"/>
  <c r="AJ31" i="28"/>
  <c r="AJ32" i="28" l="1"/>
  <c r="O51" i="15" l="1"/>
  <c r="Q34" i="14" l="1"/>
  <c r="U47" i="14" l="1"/>
  <c r="V47" i="14" l="1"/>
  <c r="W47" i="14" l="1"/>
  <c r="X47" i="14" s="1"/>
  <c r="Y47" i="14" s="1"/>
  <c r="Z47" i="14" l="1"/>
  <c r="AA47" i="14" l="1"/>
  <c r="AB47" i="14" l="1"/>
  <c r="AC47" i="14" l="1"/>
  <c r="AD47" i="14" l="1"/>
  <c r="AE47" i="14" l="1"/>
  <c r="AF47" i="14" l="1"/>
  <c r="AG47" i="14" l="1"/>
  <c r="AH47" i="14" l="1"/>
  <c r="AI47" i="14" l="1"/>
  <c r="AJ47" i="14" l="1"/>
  <c r="AK47" i="14" l="1"/>
  <c r="AL47" i="14" l="1"/>
  <c r="AM47" i="14" l="1"/>
  <c r="AN47" i="14" s="1"/>
  <c r="S34" i="14" l="1"/>
  <c r="S40" i="14"/>
  <c r="S46" i="14" l="1"/>
  <c r="S53" i="14"/>
  <c r="S47" i="14" l="1"/>
  <c r="R43" i="28"/>
  <c r="R44" i="28" s="1"/>
  <c r="S43" i="28" l="1"/>
  <c r="S44" i="28" s="1"/>
  <c r="S47" i="15"/>
  <c r="S49" i="15" s="1"/>
  <c r="T45" i="15"/>
  <c r="S49" i="28" l="1"/>
  <c r="S47" i="28"/>
  <c r="S46" i="28"/>
  <c r="S50" i="28" s="1"/>
  <c r="S51" i="15"/>
  <c r="U45" i="15"/>
  <c r="T44" i="15"/>
  <c r="T47" i="15" l="1"/>
  <c r="T49" i="15" s="1"/>
  <c r="T43" i="28"/>
  <c r="T44" i="28" s="1"/>
  <c r="S48" i="28"/>
  <c r="U44" i="15"/>
  <c r="V45" i="15"/>
  <c r="T49" i="28" l="1"/>
  <c r="T47" i="28"/>
  <c r="T51" i="15"/>
  <c r="T46" i="28"/>
  <c r="V44" i="15"/>
  <c r="W45" i="15"/>
  <c r="U43" i="28"/>
  <c r="U44" i="28" s="1"/>
  <c r="U47" i="15"/>
  <c r="U49" i="15" s="1"/>
  <c r="T50" i="28" l="1"/>
  <c r="U47" i="28"/>
  <c r="U49" i="28"/>
  <c r="W44" i="15"/>
  <c r="W47" i="15" s="1"/>
  <c r="W49" i="15" s="1"/>
  <c r="X45" i="15"/>
  <c r="X44" i="15" s="1"/>
  <c r="U46" i="28"/>
  <c r="U51" i="15"/>
  <c r="T48" i="28"/>
  <c r="V47" i="15"/>
  <c r="V49" i="15" s="1"/>
  <c r="V43" i="28"/>
  <c r="V44" i="28" s="1"/>
  <c r="U50" i="28" l="1"/>
  <c r="V49" i="28"/>
  <c r="V47" i="28"/>
  <c r="X47" i="15"/>
  <c r="X43" i="28"/>
  <c r="X44" i="28" s="1"/>
  <c r="W49" i="28"/>
  <c r="W47" i="28"/>
  <c r="W51" i="15"/>
  <c r="V51" i="15"/>
  <c r="W43" i="28"/>
  <c r="W44" i="28" s="1"/>
  <c r="U48" i="28"/>
  <c r="V46" i="28"/>
  <c r="W46" i="28"/>
  <c r="V50" i="28" l="1"/>
  <c r="W50" i="28"/>
  <c r="X49" i="15"/>
  <c r="X46" i="28"/>
  <c r="Y44" i="28"/>
  <c r="Y43" i="28" s="1"/>
  <c r="Y46" i="28" s="1"/>
  <c r="W48" i="28"/>
  <c r="V48" i="28"/>
  <c r="X49" i="28" l="1"/>
  <c r="X47" i="28"/>
  <c r="X48" i="28" s="1"/>
  <c r="Y48" i="28" s="1"/>
  <c r="Z44" i="28"/>
  <c r="Z43" i="28" s="1"/>
  <c r="Z46" i="28" s="1"/>
  <c r="X51" i="15"/>
  <c r="AA44" i="28" l="1"/>
  <c r="AB44" i="28" s="1"/>
  <c r="X50" i="28"/>
  <c r="Y50" i="28" s="1"/>
  <c r="Z50" i="28" s="1"/>
  <c r="AA50" i="28" s="1"/>
  <c r="AB50" i="28" s="1"/>
  <c r="AC50" i="28" s="1"/>
  <c r="AD50" i="28" s="1"/>
  <c r="AE50" i="28" s="1"/>
  <c r="AF50" i="28" s="1"/>
  <c r="AG50" i="28" s="1"/>
  <c r="AH50" i="28" s="1"/>
  <c r="AI50" i="28" s="1"/>
  <c r="AJ50" i="28" s="1"/>
  <c r="AK50" i="28" s="1"/>
  <c r="AL50" i="28" s="1"/>
  <c r="AM50" i="28" s="1"/>
  <c r="Y47" i="28"/>
  <c r="Z48" i="28"/>
  <c r="Z47" i="28" s="1"/>
  <c r="AA43" i="28" l="1"/>
  <c r="AA46" i="28" s="1"/>
  <c r="AA49" i="28" s="1"/>
  <c r="Y49" i="28"/>
  <c r="Z49" i="28"/>
  <c r="AA48" i="28"/>
  <c r="AB43" i="28"/>
  <c r="AB46" i="28" s="1"/>
  <c r="AB49" i="28" s="1"/>
  <c r="AC44" i="28"/>
  <c r="AA47" i="28" l="1"/>
  <c r="AB48" i="28"/>
  <c r="AC48" i="28" s="1"/>
  <c r="AC43" i="28"/>
  <c r="AC46" i="28" s="1"/>
  <c r="AC49" i="28" s="1"/>
  <c r="AD44" i="28"/>
  <c r="AB47" i="28" l="1"/>
  <c r="AD48" i="28"/>
  <c r="AC47" i="28"/>
  <c r="AD43" i="28"/>
  <c r="AD46" i="28" s="1"/>
  <c r="AD49" i="28" s="1"/>
  <c r="AE44" i="28"/>
  <c r="AE48" i="28" l="1"/>
  <c r="AD47" i="28"/>
  <c r="AE43" i="28"/>
  <c r="AE46" i="28" s="1"/>
  <c r="AE49" i="28" s="1"/>
  <c r="AF44" i="28"/>
  <c r="AF48" i="28" l="1"/>
  <c r="AE47" i="28"/>
  <c r="AF43" i="28"/>
  <c r="AF46" i="28" s="1"/>
  <c r="AF49" i="28" s="1"/>
  <c r="AG44" i="28"/>
  <c r="AG48" i="28" l="1"/>
  <c r="AF47" i="28"/>
  <c r="AH44" i="28"/>
  <c r="AG43" i="28"/>
  <c r="AG46" i="28" s="1"/>
  <c r="AG49" i="28" s="1"/>
  <c r="AH48" i="28" l="1"/>
  <c r="AG47" i="28"/>
  <c r="AH43" i="28"/>
  <c r="AH46" i="28" s="1"/>
  <c r="AH49" i="28" s="1"/>
  <c r="AI44" i="28"/>
  <c r="AI48" i="28" l="1"/>
  <c r="AH47" i="28"/>
  <c r="AI43" i="28"/>
  <c r="AI46" i="28" s="1"/>
  <c r="AI49" i="28" s="1"/>
  <c r="AJ44" i="28"/>
  <c r="AJ48" i="28" l="1"/>
  <c r="AI47" i="28"/>
  <c r="AJ43" i="28"/>
  <c r="AJ46" i="28" s="1"/>
  <c r="AJ49" i="28" s="1"/>
  <c r="AK44" i="28"/>
  <c r="AK48" i="28" l="1"/>
  <c r="AJ47" i="28"/>
  <c r="AK43" i="28"/>
  <c r="AK46" i="28" s="1"/>
  <c r="AK49" i="28" s="1"/>
  <c r="AL44" i="28"/>
  <c r="AL48" i="28" l="1"/>
  <c r="AK47" i="28"/>
  <c r="AL43" i="28"/>
  <c r="AL46" i="28" s="1"/>
  <c r="AM44" i="28"/>
  <c r="AM43" i="28" s="1"/>
  <c r="AM46" i="28" s="1"/>
  <c r="AM49" i="28" l="1"/>
  <c r="AL49" i="28"/>
  <c r="AM48" i="28"/>
  <c r="AM47" i="28" s="1"/>
  <c r="AL47" i="28"/>
  <c r="S7" i="34" l="1"/>
  <c r="S6" i="34"/>
  <c r="S8" i="34"/>
  <c r="T20" i="14" l="1"/>
  <c r="T23" i="14"/>
  <c r="S41" i="14"/>
  <c r="T4" i="34"/>
  <c r="S35" i="14"/>
  <c r="U23" i="14" l="1"/>
  <c r="U20" i="14"/>
  <c r="T41" i="14"/>
  <c r="T35" i="14"/>
  <c r="T22" i="14"/>
  <c r="T19" i="14"/>
  <c r="U4" i="34"/>
  <c r="V23" i="14" l="1"/>
  <c r="V20" i="14"/>
  <c r="U41" i="14"/>
  <c r="U35" i="14"/>
  <c r="U22" i="14"/>
  <c r="U19" i="14"/>
  <c r="T34" i="14"/>
  <c r="T40" i="14"/>
  <c r="W5" i="34"/>
  <c r="V4" i="34"/>
  <c r="W20" i="14" l="1"/>
  <c r="W23" i="14"/>
  <c r="V22" i="14"/>
  <c r="V19" i="14"/>
  <c r="V35" i="14"/>
  <c r="V41" i="14"/>
  <c r="W4" i="34"/>
  <c r="X5" i="34"/>
  <c r="T46" i="14"/>
  <c r="U34" i="14"/>
  <c r="U40" i="14"/>
  <c r="T49" i="14" l="1"/>
  <c r="X23" i="14"/>
  <c r="X20" i="14"/>
  <c r="Y5" i="34"/>
  <c r="X4" i="34"/>
  <c r="V34" i="14"/>
  <c r="V40" i="14"/>
  <c r="U46" i="14"/>
  <c r="W41" i="14"/>
  <c r="W35" i="14"/>
  <c r="W22" i="14"/>
  <c r="W19" i="14"/>
  <c r="T51" i="14" l="1"/>
  <c r="Y23" i="14"/>
  <c r="Y20" i="14"/>
  <c r="U49" i="14"/>
  <c r="V46" i="14"/>
  <c r="Y4" i="34"/>
  <c r="X35" i="14"/>
  <c r="X41" i="14"/>
  <c r="W34" i="14"/>
  <c r="W40" i="14"/>
  <c r="X22" i="14"/>
  <c r="X19" i="14"/>
  <c r="T53" i="14" l="1"/>
  <c r="V49" i="14"/>
  <c r="T55" i="14"/>
  <c r="U51" i="14"/>
  <c r="X34" i="14"/>
  <c r="X40" i="14"/>
  <c r="Y41" i="14"/>
  <c r="Y35" i="14"/>
  <c r="W46" i="14"/>
  <c r="Y19" i="14"/>
  <c r="Y22" i="14"/>
  <c r="V51" i="14" l="1"/>
  <c r="V55" i="14" s="1"/>
  <c r="Z22" i="14"/>
  <c r="AA22" i="14" s="1"/>
  <c r="U55" i="14"/>
  <c r="T56" i="14"/>
  <c r="Z19" i="14"/>
  <c r="AA19" i="14" s="1"/>
  <c r="AB19" i="14" s="1"/>
  <c r="AC19" i="14" s="1"/>
  <c r="AD19" i="14" s="1"/>
  <c r="AE19" i="14" s="1"/>
  <c r="AF19" i="14" s="1"/>
  <c r="AG19" i="14" s="1"/>
  <c r="AH19" i="14" s="1"/>
  <c r="AI19" i="14" s="1"/>
  <c r="AJ19" i="14" s="1"/>
  <c r="AK19" i="14" s="1"/>
  <c r="AL19" i="14" s="1"/>
  <c r="AM19" i="14" s="1"/>
  <c r="AN19" i="14" s="1"/>
  <c r="U53" i="14"/>
  <c r="W49" i="14"/>
  <c r="Y34" i="14"/>
  <c r="Y40" i="14"/>
  <c r="X46" i="14"/>
  <c r="V53" i="14" l="1"/>
  <c r="U56" i="14"/>
  <c r="V56" i="14"/>
  <c r="W51" i="14"/>
  <c r="Z23" i="14"/>
  <c r="AA23" i="14" s="1"/>
  <c r="Y46" i="14"/>
  <c r="Y49" i="14" s="1"/>
  <c r="AB22" i="14"/>
  <c r="X49" i="14"/>
  <c r="Z34" i="14"/>
  <c r="Z20" i="14"/>
  <c r="Z40" i="14"/>
  <c r="W55" i="14" l="1"/>
  <c r="W56" i="14"/>
  <c r="X51" i="14"/>
  <c r="Y51" i="14"/>
  <c r="W53" i="14"/>
  <c r="AA20" i="14"/>
  <c r="AA34" i="14"/>
  <c r="AA40" i="14"/>
  <c r="AB23" i="14"/>
  <c r="AC22" i="14"/>
  <c r="Z35" i="14"/>
  <c r="Z41" i="14"/>
  <c r="Z46" i="14"/>
  <c r="Z49" i="14" s="1"/>
  <c r="Y55" i="14" l="1"/>
  <c r="X55" i="14"/>
  <c r="X53" i="14"/>
  <c r="Y53" i="14"/>
  <c r="Z53" i="14" s="1"/>
  <c r="AA53" i="14" s="1"/>
  <c r="AB53" i="14" s="1"/>
  <c r="AC53" i="14" s="1"/>
  <c r="AD53" i="14" s="1"/>
  <c r="AE53" i="14" s="1"/>
  <c r="AF53" i="14" s="1"/>
  <c r="AG53" i="14" s="1"/>
  <c r="AH53" i="14" s="1"/>
  <c r="AI53" i="14" s="1"/>
  <c r="AJ53" i="14" s="1"/>
  <c r="AK53" i="14" s="1"/>
  <c r="AL53" i="14" s="1"/>
  <c r="AM53" i="14" s="1"/>
  <c r="AN53" i="14" s="1"/>
  <c r="AB20" i="14"/>
  <c r="AB34" i="14"/>
  <c r="AB40" i="14"/>
  <c r="AC23" i="14"/>
  <c r="AD22" i="14"/>
  <c r="AA35" i="14"/>
  <c r="AA41" i="14"/>
  <c r="AA46" i="14"/>
  <c r="AA49" i="14" s="1"/>
  <c r="Y56" i="14" l="1"/>
  <c r="Z56" i="14" s="1"/>
  <c r="AA56" i="14" s="1"/>
  <c r="AB56" i="14" s="1"/>
  <c r="AC56" i="14" s="1"/>
  <c r="AD56" i="14" s="1"/>
  <c r="AE56" i="14" s="1"/>
  <c r="AF56" i="14" s="1"/>
  <c r="AG56" i="14" s="1"/>
  <c r="AH56" i="14" s="1"/>
  <c r="AI56" i="14" s="1"/>
  <c r="AJ56" i="14" s="1"/>
  <c r="AK56" i="14" s="1"/>
  <c r="AL56" i="14" s="1"/>
  <c r="AM56" i="14" s="1"/>
  <c r="AN56" i="14" s="1"/>
  <c r="X56" i="14"/>
  <c r="Z51" i="14"/>
  <c r="AA51" i="14"/>
  <c r="AC34" i="14"/>
  <c r="AC20" i="14"/>
  <c r="AC40" i="14"/>
  <c r="AB35" i="14"/>
  <c r="AB41" i="14"/>
  <c r="AE22" i="14"/>
  <c r="AD23" i="14"/>
  <c r="AB46" i="14"/>
  <c r="AB49" i="14" s="1"/>
  <c r="AB55" i="14" l="1"/>
  <c r="Z55" i="14"/>
  <c r="AA55" i="14"/>
  <c r="AB51" i="14"/>
  <c r="AD20" i="14"/>
  <c r="AD34" i="14"/>
  <c r="AD40" i="14"/>
  <c r="AE23" i="14"/>
  <c r="AF22" i="14"/>
  <c r="AC46" i="14"/>
  <c r="AC49" i="14" s="1"/>
  <c r="AC55" i="14" s="1"/>
  <c r="AC41" i="14"/>
  <c r="AC35" i="14"/>
  <c r="AC51" i="14" l="1"/>
  <c r="AD35" i="14"/>
  <c r="AD41" i="14"/>
  <c r="AD46" i="14"/>
  <c r="AD49" i="14" s="1"/>
  <c r="AD55" i="14" s="1"/>
  <c r="AF23" i="14"/>
  <c r="AG22" i="14"/>
  <c r="AE34" i="14"/>
  <c r="AE20" i="14"/>
  <c r="AE40" i="14"/>
  <c r="AE41" i="14" l="1"/>
  <c r="AE35" i="14"/>
  <c r="AE46" i="14"/>
  <c r="AE49" i="14" s="1"/>
  <c r="AE55" i="14" s="1"/>
  <c r="AH22" i="14"/>
  <c r="AG23" i="14"/>
  <c r="AF34" i="14"/>
  <c r="AF20" i="14"/>
  <c r="AF40" i="14"/>
  <c r="AD51" i="14"/>
  <c r="AF46" i="14" l="1"/>
  <c r="AF49" i="14" s="1"/>
  <c r="AF55" i="14" s="1"/>
  <c r="AH23" i="14"/>
  <c r="AI22" i="14"/>
  <c r="AF41" i="14"/>
  <c r="AF35" i="14"/>
  <c r="AE51" i="14"/>
  <c r="AG34" i="14"/>
  <c r="AG20" i="14"/>
  <c r="AG40" i="14"/>
  <c r="AG41" i="14" l="1"/>
  <c r="AG35" i="14"/>
  <c r="AF51" i="14"/>
  <c r="AG46" i="14"/>
  <c r="AG49" i="14" s="1"/>
  <c r="AG55" i="14" s="1"/>
  <c r="AH34" i="14"/>
  <c r="AH20" i="14"/>
  <c r="AH40" i="14"/>
  <c r="AI23" i="14"/>
  <c r="AJ22" i="14"/>
  <c r="AG51" i="14" l="1"/>
  <c r="AI34" i="14"/>
  <c r="AI20" i="14"/>
  <c r="AI40" i="14"/>
  <c r="AH41" i="14"/>
  <c r="AH35" i="14"/>
  <c r="AJ23" i="14"/>
  <c r="AK22" i="14"/>
  <c r="AH46" i="14"/>
  <c r="AH49" i="14" s="1"/>
  <c r="AH55" i="14" s="1"/>
  <c r="AH51" i="14" l="1"/>
  <c r="AI35" i="14"/>
  <c r="AI41" i="14"/>
  <c r="AJ34" i="14"/>
  <c r="AJ20" i="14"/>
  <c r="AJ40" i="14"/>
  <c r="AK23" i="14"/>
  <c r="AL22" i="14"/>
  <c r="AI46" i="14"/>
  <c r="AI49" i="14" s="1"/>
  <c r="AI55" i="14" s="1"/>
  <c r="AI51" i="14" l="1"/>
  <c r="AJ46" i="14"/>
  <c r="AJ49" i="14" s="1"/>
  <c r="AJ55" i="14" s="1"/>
  <c r="AK34" i="14"/>
  <c r="AK20" i="14"/>
  <c r="AK40" i="14"/>
  <c r="AL23" i="14"/>
  <c r="AM22" i="14"/>
  <c r="AN22" i="14" s="1"/>
  <c r="AJ41" i="14"/>
  <c r="AJ35" i="14"/>
  <c r="AM23" i="14" l="1"/>
  <c r="AN23" i="14" s="1"/>
  <c r="AJ51" i="14"/>
  <c r="AK35" i="14"/>
  <c r="AK41" i="14"/>
  <c r="AL20" i="14"/>
  <c r="AL34" i="14"/>
  <c r="AL40" i="14"/>
  <c r="AK46" i="14"/>
  <c r="AK49" i="14" s="1"/>
  <c r="AK55" i="14" s="1"/>
  <c r="AN34" i="14" l="1"/>
  <c r="AN40" i="14"/>
  <c r="AK51" i="14"/>
  <c r="AL46" i="14"/>
  <c r="AL49" i="14" s="1"/>
  <c r="AL55" i="14" s="1"/>
  <c r="AM34" i="14"/>
  <c r="AM20" i="14"/>
  <c r="AN20" i="14" s="1"/>
  <c r="AM40" i="14"/>
  <c r="AL35" i="14"/>
  <c r="AL41" i="14"/>
  <c r="AN46" i="14" l="1"/>
  <c r="AN49" i="14" s="1"/>
  <c r="AN55" i="14" s="1"/>
  <c r="AN41" i="14"/>
  <c r="AN35" i="14"/>
  <c r="AM35" i="14"/>
  <c r="AM41" i="14"/>
  <c r="AL51" i="14"/>
  <c r="AM46" i="14"/>
  <c r="AM49" i="14" s="1"/>
  <c r="AM55" i="14" l="1"/>
  <c r="AN51" i="14"/>
  <c r="AM51" i="14"/>
</calcChain>
</file>

<file path=xl/sharedStrings.xml><?xml version="1.0" encoding="utf-8"?>
<sst xmlns="http://schemas.openxmlformats.org/spreadsheetml/2006/main" count="190" uniqueCount="54">
  <si>
    <t>Customers</t>
  </si>
  <si>
    <t>Total Sales</t>
  </si>
  <si>
    <t>Lighting MWh</t>
  </si>
  <si>
    <t>Co. Use MWh</t>
  </si>
  <si>
    <t>Losses MWh</t>
  </si>
  <si>
    <t>Losses %</t>
  </si>
  <si>
    <t>Average Use kWh</t>
  </si>
  <si>
    <t>Change in Customers</t>
  </si>
  <si>
    <t>Customers Year End</t>
  </si>
  <si>
    <t>E110 MWh</t>
  </si>
  <si>
    <t>E112 MWh</t>
  </si>
  <si>
    <t>E2.10 MWh</t>
  </si>
  <si>
    <t>E2.20 MWh</t>
  </si>
  <si>
    <t>E2.30 MWh</t>
  </si>
  <si>
    <t>E2.40 MWh</t>
  </si>
  <si>
    <t>Total General Service</t>
  </si>
  <si>
    <t>Total GS Cusromers</t>
  </si>
  <si>
    <t>Happy Valley Goose Bay</t>
  </si>
  <si>
    <t>Labrador City</t>
  </si>
  <si>
    <t>Labrador West</t>
  </si>
  <si>
    <t>Wabush</t>
  </si>
  <si>
    <t>R110 MWh</t>
  </si>
  <si>
    <t>R112 MWh</t>
  </si>
  <si>
    <t>R2.10 MWh</t>
  </si>
  <si>
    <t>R2.20 MWh</t>
  </si>
  <si>
    <t>R2.30 MWh</t>
  </si>
  <si>
    <t>R2.40 MWh</t>
  </si>
  <si>
    <t>Total Domestic</t>
  </si>
  <si>
    <t>Total Domestic MWH</t>
  </si>
  <si>
    <t>Total Domestic MWh</t>
  </si>
  <si>
    <t>Gross Peak (kW)</t>
  </si>
  <si>
    <t>Gross Energy (MWh)</t>
  </si>
  <si>
    <t>Load Factor</t>
  </si>
  <si>
    <t>E2.10/E2.20 MWh</t>
  </si>
  <si>
    <t>MWh/Cust</t>
  </si>
  <si>
    <t>Gross Energy WA (MWh)</t>
  </si>
  <si>
    <t>Load Factor (WA)</t>
  </si>
  <si>
    <t>E3.10 MWh</t>
  </si>
  <si>
    <t>Gross Winter Peak (kW)</t>
  </si>
  <si>
    <t>5 Yr Cust</t>
  </si>
  <si>
    <t>10 Yr Cust</t>
  </si>
  <si>
    <t>MW</t>
  </si>
  <si>
    <t>Muskrat Falls E2.40 MWh</t>
  </si>
  <si>
    <t>Customer kW</t>
  </si>
  <si>
    <t>System kW</t>
  </si>
  <si>
    <t>System Losses MWh</t>
  </si>
  <si>
    <r>
      <t xml:space="preserve">E2.40 </t>
    </r>
    <r>
      <rPr>
        <b/>
        <u/>
        <sz val="12"/>
        <rFont val="Times New Roman"/>
        <family val="1"/>
      </rPr>
      <t>DC</t>
    </r>
    <r>
      <rPr>
        <b/>
        <sz val="12"/>
        <rFont val="Times New Roman"/>
        <family val="1"/>
      </rPr>
      <t xml:space="preserve"> MWh</t>
    </r>
  </si>
  <si>
    <r>
      <t xml:space="preserve">E2.30 </t>
    </r>
    <r>
      <rPr>
        <b/>
        <u/>
        <sz val="12"/>
        <rFont val="Times New Roman"/>
        <family val="1"/>
      </rPr>
      <t>DC</t>
    </r>
    <r>
      <rPr>
        <b/>
        <sz val="12"/>
        <rFont val="Times New Roman"/>
        <family val="1"/>
      </rPr>
      <t xml:space="preserve"> MWh</t>
    </r>
  </si>
  <si>
    <t>Gross Winter Peak (LI kW)</t>
  </si>
  <si>
    <t>Gross Winter Peak (LW kW)</t>
  </si>
  <si>
    <t>Coincident town kW w.r.t. Labrador Interconnected System</t>
  </si>
  <si>
    <t>Coincident town kW w.r.t. Labrador West System</t>
  </si>
  <si>
    <t>Medium Term</t>
  </si>
  <si>
    <t>Long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</si>
</sst>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0.000"/>
    <numFmt numFmtId="167" formatCode="#,##0.0"/>
    <numFmt numFmtId="168" formatCode="#,##0.000"/>
    <numFmt numFmtId="169" formatCode="0.000%"/>
    <numFmt numFmtId="170" formatCode="_(* #,##0.0_);_(* \(#,##0.0\);_(* &quot;-&quot;??_);_(@_)"/>
    <numFmt numFmtId="171" formatCode="_(* #,##0_);_(* \(#,##0\);_(* &quot;-&quot;??_);_(@_)"/>
    <numFmt numFmtId="172" formatCode="_-* #,##0.00_-;\-* #,##0.00_-;_-* &quot;-&quot;??_-;_-@_-"/>
    <numFmt numFmtId="173" formatCode="mm/dd/yy_)"/>
    <numFmt numFmtId="174" formatCode="0_)"/>
  </numFmts>
  <fonts count="8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Times New Roman"/>
      <family val="1"/>
    </font>
    <font>
      <sz val="12"/>
      <color indexed="1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u/>
      <sz val="14"/>
      <name val="Arial"/>
      <family val="2"/>
    </font>
    <font>
      <b/>
      <u/>
      <sz val="14"/>
      <name val="Times New Roman"/>
      <family val="1"/>
    </font>
    <font>
      <sz val="10"/>
      <name val="Calibri"/>
      <family val="2"/>
    </font>
    <font>
      <sz val="9"/>
      <name val="Times New Roman"/>
      <family val="1"/>
    </font>
    <font>
      <sz val="12"/>
      <color rgb="FFFF0000"/>
      <name val="Times New Roman"/>
      <family val="1"/>
    </font>
    <font>
      <sz val="12"/>
      <color theme="5"/>
      <name val="Times New Roman"/>
      <family val="1"/>
    </font>
    <font>
      <sz val="12"/>
      <color rgb="FFC00000"/>
      <name val="Times New Roman"/>
      <family val="1"/>
    </font>
    <font>
      <sz val="12"/>
      <color rgb="FF0070C0"/>
      <name val="Times New Roman"/>
      <family val="1"/>
    </font>
    <font>
      <sz val="11"/>
      <color indexed="12"/>
      <name val="Arial"/>
      <family val="2"/>
    </font>
    <font>
      <b/>
      <sz val="11"/>
      <name val="Times New Roman"/>
      <family val="1"/>
    </font>
    <font>
      <sz val="12"/>
      <color rgb="FF00B0F0"/>
      <name val="Times New Roman"/>
      <family val="1"/>
    </font>
    <font>
      <sz val="10"/>
      <color rgb="FFFF0000"/>
      <name val="Arial"/>
      <family val="2"/>
    </font>
    <font>
      <sz val="12"/>
      <color theme="9" tint="-0.499984740745262"/>
      <name val="Times New Roman"/>
      <family val="1"/>
    </font>
    <font>
      <b/>
      <sz val="12"/>
      <color rgb="FFFF0000"/>
      <name val="Times New Roman"/>
      <family val="1"/>
    </font>
    <font>
      <sz val="12"/>
      <color rgb="FF002060"/>
      <name val="Times New Roman"/>
      <family val="1"/>
    </font>
    <font>
      <sz val="9"/>
      <color rgb="FFFF0000"/>
      <name val="Arial"/>
      <family val="2"/>
    </font>
    <font>
      <sz val="12"/>
      <color theme="2" tint="-0.749992370372631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rgb="FFC00000"/>
      <name val="Times New Roman"/>
      <family val="1"/>
    </font>
    <font>
      <b/>
      <sz val="11"/>
      <color indexed="12"/>
      <name val="Times New Roman"/>
      <family val="1"/>
    </font>
    <font>
      <b/>
      <sz val="12"/>
      <color rgb="FF0070C0"/>
      <name val="Times New Roman"/>
      <family val="1"/>
    </font>
    <font>
      <b/>
      <sz val="20"/>
      <color rgb="FFC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color theme="0"/>
      <name val="Calibri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name val="SWISS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8"/>
      <color theme="10"/>
      <name val="Arial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4"/>
      <name val="Arial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0"/>
      <color indexed="12"/>
      <name val="Times New Roman"/>
      <family val="1"/>
    </font>
    <font>
      <b/>
      <u/>
      <sz val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4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8" fillId="3" borderId="0" applyNumberFormat="0" applyBorder="0" applyAlignment="0" applyProtection="0"/>
    <xf numFmtId="0" fontId="39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8" borderId="0" applyNumberFormat="0" applyBorder="0" applyAlignment="0" applyProtection="0"/>
    <xf numFmtId="0" fontId="38" fillId="9" borderId="0" applyNumberFormat="0" applyBorder="0" applyAlignment="0" applyProtection="0"/>
    <xf numFmtId="0" fontId="39" fillId="9" borderId="0" applyNumberFormat="0" applyBorder="0" applyAlignment="0" applyProtection="0"/>
    <xf numFmtId="0" fontId="38" fillId="10" borderId="0" applyNumberFormat="0" applyBorder="0" applyAlignment="0" applyProtection="0"/>
    <xf numFmtId="0" fontId="39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1" borderId="0" applyNumberFormat="0" applyBorder="0" applyAlignment="0" applyProtection="0"/>
    <xf numFmtId="0" fontId="38" fillId="6" borderId="0" applyNumberFormat="0" applyBorder="0" applyAlignment="0" applyProtection="0"/>
    <xf numFmtId="0" fontId="39" fillId="6" borderId="0" applyNumberFormat="0" applyBorder="0" applyAlignment="0" applyProtection="0"/>
    <xf numFmtId="0" fontId="38" fillId="9" borderId="0" applyNumberFormat="0" applyBorder="0" applyAlignment="0" applyProtection="0"/>
    <xf numFmtId="0" fontId="39" fillId="9" borderId="0" applyNumberFormat="0" applyBorder="0" applyAlignment="0" applyProtection="0"/>
    <xf numFmtId="0" fontId="38" fillId="12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3" borderId="0" applyNumberFormat="0" applyBorder="0" applyAlignment="0" applyProtection="0"/>
    <xf numFmtId="0" fontId="40" fillId="10" borderId="0" applyNumberFormat="0" applyBorder="0" applyAlignment="0" applyProtection="0"/>
    <xf numFmtId="0" fontId="41" fillId="10" borderId="0" applyNumberFormat="0" applyBorder="0" applyAlignment="0" applyProtection="0"/>
    <xf numFmtId="0" fontId="40" fillId="11" borderId="0" applyNumberFormat="0" applyBorder="0" applyAlignment="0" applyProtection="0"/>
    <xf numFmtId="0" fontId="41" fillId="11" borderId="0" applyNumberFormat="0" applyBorder="0" applyAlignment="0" applyProtection="0"/>
    <xf numFmtId="0" fontId="40" fillId="14" borderId="0" applyNumberFormat="0" applyBorder="0" applyAlignment="0" applyProtection="0"/>
    <xf numFmtId="0" fontId="41" fillId="14" borderId="0" applyNumberFormat="0" applyBorder="0" applyAlignment="0" applyProtection="0"/>
    <xf numFmtId="0" fontId="40" fillId="15" borderId="0" applyNumberFormat="0" applyBorder="0" applyAlignment="0" applyProtection="0"/>
    <xf numFmtId="0" fontId="41" fillId="15" borderId="0" applyNumberFormat="0" applyBorder="0" applyAlignment="0" applyProtection="0"/>
    <xf numFmtId="0" fontId="40" fillId="16" borderId="0" applyNumberFormat="0" applyBorder="0" applyAlignment="0" applyProtection="0"/>
    <xf numFmtId="0" fontId="41" fillId="16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0" fillId="17" borderId="0" applyNumberFormat="0" applyBorder="0" applyAlignment="0" applyProtection="0"/>
    <xf numFmtId="0" fontId="41" fillId="17" borderId="0" applyNumberFormat="0" applyBorder="0" applyAlignment="0" applyProtection="0"/>
    <xf numFmtId="0" fontId="40" fillId="18" borderId="0" applyNumberFormat="0" applyBorder="0" applyAlignment="0" applyProtection="0"/>
    <xf numFmtId="0" fontId="41" fillId="18" borderId="0" applyNumberFormat="0" applyBorder="0" applyAlignment="0" applyProtection="0"/>
    <xf numFmtId="0" fontId="40" fillId="19" borderId="0" applyNumberFormat="0" applyBorder="0" applyAlignment="0" applyProtection="0"/>
    <xf numFmtId="0" fontId="41" fillId="19" borderId="0" applyNumberFormat="0" applyBorder="0" applyAlignment="0" applyProtection="0"/>
    <xf numFmtId="0" fontId="40" fillId="14" borderId="0" applyNumberFormat="0" applyBorder="0" applyAlignment="0" applyProtection="0"/>
    <xf numFmtId="0" fontId="41" fillId="14" borderId="0" applyNumberFormat="0" applyBorder="0" applyAlignment="0" applyProtection="0"/>
    <xf numFmtId="0" fontId="40" fillId="15" borderId="0" applyNumberFormat="0" applyBorder="0" applyAlignment="0" applyProtection="0"/>
    <xf numFmtId="0" fontId="41" fillId="15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3" fillId="4" borderId="0" applyNumberFormat="0" applyBorder="0" applyAlignment="0" applyProtection="0"/>
    <xf numFmtId="0" fontId="44" fillId="4" borderId="0" applyNumberFormat="0" applyBorder="0" applyAlignment="0" applyProtection="0"/>
    <xf numFmtId="0" fontId="45" fillId="21" borderId="8" applyNumberFormat="0" applyAlignment="0" applyProtection="0"/>
    <xf numFmtId="0" fontId="46" fillId="21" borderId="8" applyNumberFormat="0" applyAlignment="0" applyProtection="0"/>
    <xf numFmtId="0" fontId="47" fillId="22" borderId="9" applyNumberFormat="0" applyAlignment="0" applyProtection="0"/>
    <xf numFmtId="0" fontId="48" fillId="22" borderId="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5" borderId="0" applyNumberFormat="0" applyBorder="0" applyAlignment="0" applyProtection="0"/>
    <xf numFmtId="0" fontId="54" fillId="5" borderId="0" applyNumberFormat="0" applyBorder="0" applyAlignment="0" applyProtection="0"/>
    <xf numFmtId="0" fontId="55" fillId="0" borderId="10" applyNumberFormat="0" applyFill="0" applyAlignment="0" applyProtection="0"/>
    <xf numFmtId="0" fontId="56" fillId="0" borderId="10" applyNumberFormat="0" applyFill="0" applyAlignment="0" applyProtection="0"/>
    <xf numFmtId="0" fontId="57" fillId="0" borderId="11" applyNumberFormat="0" applyFill="0" applyAlignment="0" applyProtection="0"/>
    <xf numFmtId="0" fontId="58" fillId="0" borderId="11" applyNumberFormat="0" applyFill="0" applyAlignment="0" applyProtection="0"/>
    <xf numFmtId="0" fontId="59" fillId="0" borderId="12" applyNumberFormat="0" applyFill="0" applyAlignment="0" applyProtection="0"/>
    <xf numFmtId="0" fontId="60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3" fillId="8" borderId="8" applyNumberFormat="0" applyAlignment="0" applyProtection="0"/>
    <xf numFmtId="0" fontId="64" fillId="8" borderId="8" applyNumberFormat="0" applyAlignment="0" applyProtection="0"/>
    <xf numFmtId="0" fontId="65" fillId="0" borderId="13" applyNumberFormat="0" applyFill="0" applyAlignment="0" applyProtection="0"/>
    <xf numFmtId="0" fontId="66" fillId="0" borderId="13" applyNumberFormat="0" applyFill="0" applyAlignment="0" applyProtection="0"/>
    <xf numFmtId="0" fontId="67" fillId="23" borderId="0" applyNumberFormat="0" applyBorder="0" applyAlignment="0" applyProtection="0"/>
    <xf numFmtId="0" fontId="68" fillId="23" borderId="0" applyNumberFormat="0" applyBorder="0" applyAlignment="0" applyProtection="0"/>
    <xf numFmtId="0" fontId="38" fillId="0" borderId="0"/>
    <xf numFmtId="0" fontId="38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69" fillId="0" borderId="0"/>
    <xf numFmtId="0" fontId="2" fillId="0" borderId="0"/>
    <xf numFmtId="173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9" fillId="0" borderId="0" applyBorder="0"/>
    <xf numFmtId="0" fontId="9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1" fillId="0" borderId="0"/>
    <xf numFmtId="174" fontId="50" fillId="0" borderId="0"/>
    <xf numFmtId="0" fontId="2" fillId="0" borderId="0"/>
    <xf numFmtId="0" fontId="2" fillId="0" borderId="0"/>
    <xf numFmtId="0" fontId="2" fillId="0" borderId="0"/>
    <xf numFmtId="174" fontId="5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8" fillId="0" borderId="0"/>
    <xf numFmtId="0" fontId="18" fillId="0" borderId="0"/>
    <xf numFmtId="0" fontId="9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24" borderId="14" applyNumberFormat="0" applyFont="0" applyAlignment="0" applyProtection="0"/>
    <xf numFmtId="0" fontId="2" fillId="24" borderId="14" applyNumberFormat="0" applyFont="0" applyAlignment="0" applyProtection="0"/>
    <xf numFmtId="0" fontId="2" fillId="24" borderId="14" applyNumberFormat="0" applyFont="0" applyAlignment="0" applyProtection="0"/>
    <xf numFmtId="0" fontId="39" fillId="24" borderId="14" applyNumberFormat="0" applyFont="0" applyAlignment="0" applyProtection="0"/>
    <xf numFmtId="0" fontId="70" fillId="21" borderId="15" applyNumberFormat="0" applyAlignment="0" applyProtection="0"/>
    <xf numFmtId="0" fontId="71" fillId="21" borderId="15" applyNumberFormat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" fontId="72" fillId="0" borderId="0"/>
    <xf numFmtId="0" fontId="73" fillId="0" borderId="0" applyNumberFormat="0" applyFill="0" applyBorder="0" applyAlignment="0" applyProtection="0"/>
    <xf numFmtId="0" fontId="74" fillId="0" borderId="16" applyNumberFormat="0" applyFill="0" applyAlignment="0" applyProtection="0"/>
    <xf numFmtId="0" fontId="75" fillId="0" borderId="16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</cellStyleXfs>
  <cellXfs count="263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9" fontId="5" fillId="0" borderId="0" xfId="2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9" fontId="3" fillId="0" borderId="0" xfId="2" applyNumberFormat="1" applyFont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0" fontId="3" fillId="0" borderId="0" xfId="0" applyFont="1" applyBorder="1"/>
    <xf numFmtId="3" fontId="7" fillId="0" borderId="0" xfId="0" applyNumberFormat="1" applyFont="1" applyBorder="1" applyAlignment="1">
      <alignment horizontal="center"/>
    </xf>
    <xf numFmtId="9" fontId="7" fillId="0" borderId="0" xfId="2" applyFont="1" applyBorder="1" applyAlignment="1">
      <alignment horizontal="center"/>
    </xf>
    <xf numFmtId="9" fontId="7" fillId="0" borderId="0" xfId="2" applyNumberFormat="1" applyFont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0" fontId="0" fillId="0" borderId="0" xfId="0" applyBorder="1"/>
    <xf numFmtId="164" fontId="5" fillId="0" borderId="0" xfId="2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4" fontId="7" fillId="0" borderId="0" xfId="2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168" fontId="4" fillId="0" borderId="0" xfId="0" applyNumberFormat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9" fontId="3" fillId="0" borderId="0" xfId="2" applyFont="1" applyBorder="1" applyAlignment="1">
      <alignment horizontal="center"/>
    </xf>
    <xf numFmtId="1" fontId="3" fillId="0" borderId="0" xfId="2" applyNumberFormat="1" applyFont="1" applyBorder="1" applyAlignment="1">
      <alignment horizontal="center"/>
    </xf>
    <xf numFmtId="17" fontId="4" fillId="0" borderId="0" xfId="0" applyNumberFormat="1" applyFont="1" applyBorder="1" applyAlignment="1">
      <alignment horizontal="center"/>
    </xf>
    <xf numFmtId="1" fontId="14" fillId="0" borderId="0" xfId="0" applyNumberFormat="1" applyFont="1"/>
    <xf numFmtId="165" fontId="15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1" fontId="12" fillId="0" borderId="0" xfId="2" applyNumberFormat="1" applyFont="1" applyBorder="1" applyAlignment="1">
      <alignment horizontal="center"/>
    </xf>
    <xf numFmtId="1" fontId="3" fillId="0" borderId="0" xfId="0" applyNumberFormat="1" applyFont="1" applyBorder="1" applyAlignment="1"/>
    <xf numFmtId="165" fontId="7" fillId="0" borderId="0" xfId="0" applyNumberFormat="1" applyFont="1" applyBorder="1" applyAlignment="1">
      <alignment horizontal="center"/>
    </xf>
    <xf numFmtId="1" fontId="0" fillId="0" borderId="0" xfId="0" applyNumberFormat="1"/>
    <xf numFmtId="3" fontId="4" fillId="0" borderId="0" xfId="0" applyNumberFormat="1" applyFont="1" applyFill="1" applyBorder="1" applyAlignment="1">
      <alignment horizontal="center"/>
    </xf>
    <xf numFmtId="43" fontId="4" fillId="0" borderId="0" xfId="1" applyNumberFormat="1" applyFont="1" applyBorder="1" applyAlignment="1">
      <alignment horizontal="center"/>
    </xf>
    <xf numFmtId="43" fontId="3" fillId="0" borderId="0" xfId="1" applyNumberFormat="1" applyFont="1" applyBorder="1" applyAlignment="1">
      <alignment horizontal="center"/>
    </xf>
    <xf numFmtId="164" fontId="21" fillId="0" borderId="0" xfId="2" applyNumberFormat="1" applyFont="1" applyBorder="1" applyAlignment="1">
      <alignment horizontal="center"/>
    </xf>
    <xf numFmtId="0" fontId="2" fillId="0" borderId="0" xfId="0" applyFont="1"/>
    <xf numFmtId="3" fontId="7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0" fontId="3" fillId="0" borderId="0" xfId="2" applyNumberFormat="1" applyFont="1" applyBorder="1" applyAlignment="1">
      <alignment horizontal="center"/>
    </xf>
    <xf numFmtId="0" fontId="0" fillId="0" borderId="0" xfId="0" applyFill="1"/>
    <xf numFmtId="165" fontId="24" fillId="0" borderId="0" xfId="0" applyNumberFormat="1" applyFont="1" applyAlignment="1">
      <alignment horizontal="center"/>
    </xf>
    <xf numFmtId="165" fontId="24" fillId="0" borderId="0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3" fillId="0" borderId="0" xfId="2" applyNumberFormat="1" applyFont="1" applyBorder="1" applyAlignment="1">
      <alignment horizontal="center"/>
    </xf>
    <xf numFmtId="165" fontId="12" fillId="0" borderId="0" xfId="2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9" fontId="7" fillId="0" borderId="0" xfId="2" applyNumberFormat="1" applyFont="1" applyFill="1" applyBorder="1" applyAlignment="1"/>
    <xf numFmtId="9" fontId="3" fillId="0" borderId="0" xfId="0" applyNumberFormat="1" applyFont="1" applyFill="1" applyBorder="1" applyAlignment="1">
      <alignment horizontal="right"/>
    </xf>
    <xf numFmtId="164" fontId="7" fillId="0" borderId="0" xfId="2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1" xfId="2" applyNumberFormat="1" applyFont="1" applyBorder="1" applyAlignment="1">
      <alignment horizontal="center"/>
    </xf>
    <xf numFmtId="167" fontId="4" fillId="0" borderId="0" xfId="0" applyNumberFormat="1" applyFont="1" applyFill="1" applyBorder="1" applyAlignment="1">
      <alignment horizontal="right"/>
    </xf>
    <xf numFmtId="10" fontId="0" fillId="0" borderId="0" xfId="2" applyNumberFormat="1" applyFont="1" applyFill="1" applyBorder="1" applyAlignment="1">
      <alignment horizontal="center"/>
    </xf>
    <xf numFmtId="3" fontId="0" fillId="0" borderId="0" xfId="0" applyNumberFormat="1"/>
    <xf numFmtId="3" fontId="4" fillId="0" borderId="1" xfId="0" applyNumberFormat="1" applyFont="1" applyFill="1" applyBorder="1" applyAlignment="1">
      <alignment horizontal="center"/>
    </xf>
    <xf numFmtId="165" fontId="24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center"/>
    </xf>
    <xf numFmtId="3" fontId="30" fillId="0" borderId="0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9" fontId="3" fillId="0" borderId="0" xfId="2" applyNumberFormat="1" applyFont="1" applyFill="1" applyBorder="1" applyAlignment="1">
      <alignment horizontal="center"/>
    </xf>
    <xf numFmtId="3" fontId="29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3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3" fontId="23" fillId="0" borderId="3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center"/>
    </xf>
    <xf numFmtId="3" fontId="23" fillId="0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171" fontId="19" fillId="0" borderId="0" xfId="1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164" fontId="3" fillId="0" borderId="5" xfId="2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22" fillId="0" borderId="0" xfId="2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" fontId="25" fillId="0" borderId="0" xfId="2" applyNumberFormat="1" applyFont="1" applyBorder="1" applyAlignment="1">
      <alignment horizontal="center"/>
    </xf>
    <xf numFmtId="165" fontId="25" fillId="0" borderId="0" xfId="2" applyNumberFormat="1" applyFont="1" applyBorder="1" applyAlignment="1">
      <alignment horizontal="center"/>
    </xf>
    <xf numFmtId="10" fontId="4" fillId="0" borderId="0" xfId="2" applyNumberFormat="1" applyFont="1" applyBorder="1" applyAlignment="1">
      <alignment horizontal="center"/>
    </xf>
    <xf numFmtId="3" fontId="4" fillId="0" borderId="0" xfId="2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164" fontId="30" fillId="0" borderId="0" xfId="2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4" fillId="0" borderId="0" xfId="0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horizontal="center"/>
    </xf>
    <xf numFmtId="3" fontId="3" fillId="0" borderId="17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1" fontId="35" fillId="0" borderId="0" xfId="2" applyNumberFormat="1" applyFont="1" applyBorder="1" applyAlignment="1">
      <alignment horizontal="center"/>
    </xf>
    <xf numFmtId="165" fontId="35" fillId="0" borderId="0" xfId="2" applyNumberFormat="1" applyFont="1" applyBorder="1" applyAlignment="1">
      <alignment horizontal="center"/>
    </xf>
    <xf numFmtId="1" fontId="12" fillId="0" borderId="1" xfId="2" applyNumberFormat="1" applyFont="1" applyBorder="1" applyAlignment="1">
      <alignment horizontal="center"/>
    </xf>
    <xf numFmtId="165" fontId="12" fillId="0" borderId="1" xfId="2" applyNumberFormat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164" fontId="21" fillId="0" borderId="1" xfId="2" applyNumberFormat="1" applyFont="1" applyBorder="1" applyAlignment="1">
      <alignment horizontal="center"/>
    </xf>
    <xf numFmtId="164" fontId="22" fillId="0" borderId="0" xfId="2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/>
    <xf numFmtId="3" fontId="78" fillId="0" borderId="0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23" fillId="0" borderId="7" xfId="0" applyNumberFormat="1" applyFont="1" applyFill="1" applyBorder="1" applyAlignment="1">
      <alignment horizontal="center"/>
    </xf>
    <xf numFmtId="3" fontId="22" fillId="0" borderId="7" xfId="0" applyNumberFormat="1" applyFont="1" applyFill="1" applyBorder="1" applyAlignment="1">
      <alignment horizontal="center"/>
    </xf>
    <xf numFmtId="167" fontId="3" fillId="0" borderId="7" xfId="0" applyNumberFormat="1" applyFont="1" applyFill="1" applyBorder="1" applyAlignment="1">
      <alignment horizontal="center"/>
    </xf>
    <xf numFmtId="164" fontId="7" fillId="0" borderId="7" xfId="2" applyNumberFormat="1" applyFont="1" applyFill="1" applyBorder="1" applyAlignment="1">
      <alignment horizontal="center"/>
    </xf>
    <xf numFmtId="9" fontId="3" fillId="0" borderId="7" xfId="2" applyNumberFormat="1" applyFont="1" applyFill="1" applyBorder="1" applyAlignment="1">
      <alignment horizontal="center"/>
    </xf>
    <xf numFmtId="9" fontId="3" fillId="0" borderId="7" xfId="0" applyNumberFormat="1" applyFont="1" applyFill="1" applyBorder="1" applyAlignment="1">
      <alignment horizontal="center"/>
    </xf>
    <xf numFmtId="166" fontId="5" fillId="0" borderId="7" xfId="0" applyNumberFormat="1" applyFont="1" applyFill="1" applyBorder="1" applyAlignment="1">
      <alignment horizontal="center"/>
    </xf>
    <xf numFmtId="1" fontId="14" fillId="0" borderId="0" xfId="0" applyNumberFormat="1" applyFont="1" applyFill="1"/>
    <xf numFmtId="3" fontId="3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9" fontId="3" fillId="0" borderId="1" xfId="2" applyFont="1" applyBorder="1" applyAlignment="1">
      <alignment horizontal="center"/>
    </xf>
    <xf numFmtId="0" fontId="34" fillId="0" borderId="1" xfId="0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171" fontId="19" fillId="0" borderId="1" xfId="1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right"/>
    </xf>
    <xf numFmtId="9" fontId="3" fillId="0" borderId="0" xfId="2" applyFont="1" applyBorder="1" applyAlignment="1"/>
    <xf numFmtId="3" fontId="78" fillId="0" borderId="1" xfId="0" applyNumberFormat="1" applyFont="1" applyFill="1" applyBorder="1" applyAlignment="1">
      <alignment horizontal="center"/>
    </xf>
    <xf numFmtId="164" fontId="23" fillId="0" borderId="7" xfId="2" applyNumberFormat="1" applyFont="1" applyFill="1" applyBorder="1" applyAlignment="1">
      <alignment horizontal="center"/>
    </xf>
    <xf numFmtId="164" fontId="23" fillId="0" borderId="0" xfId="2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3" fontId="28" fillId="0" borderId="0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left"/>
    </xf>
    <xf numFmtId="1" fontId="34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167" fontId="5" fillId="0" borderId="7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right"/>
    </xf>
    <xf numFmtId="170" fontId="4" fillId="0" borderId="0" xfId="1" applyNumberFormat="1" applyFont="1" applyFill="1" applyBorder="1" applyAlignment="1">
      <alignment horizontal="center"/>
    </xf>
    <xf numFmtId="170" fontId="4" fillId="0" borderId="1" xfId="1" applyNumberFormat="1" applyFont="1" applyFill="1" applyBorder="1" applyAlignment="1">
      <alignment horizontal="center"/>
    </xf>
    <xf numFmtId="3" fontId="23" fillId="0" borderId="3" xfId="0" applyNumberFormat="1" applyFont="1" applyFill="1" applyBorder="1" applyAlignment="1">
      <alignment horizontal="right"/>
    </xf>
    <xf numFmtId="3" fontId="23" fillId="0" borderId="5" xfId="0" applyNumberFormat="1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5" fontId="23" fillId="0" borderId="0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7" fontId="22" fillId="0" borderId="0" xfId="0" applyNumberFormat="1" applyFont="1" applyFill="1" applyBorder="1" applyAlignment="1">
      <alignment horizontal="center"/>
    </xf>
    <xf numFmtId="167" fontId="22" fillId="0" borderId="1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center"/>
    </xf>
    <xf numFmtId="165" fontId="22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right"/>
    </xf>
    <xf numFmtId="9" fontId="3" fillId="0" borderId="0" xfId="2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168" fontId="3" fillId="0" borderId="0" xfId="0" applyNumberFormat="1" applyFont="1" applyFill="1" applyBorder="1" applyAlignment="1">
      <alignment horizontal="center"/>
    </xf>
    <xf numFmtId="3" fontId="3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8" fillId="0" borderId="0" xfId="0" quotePrefix="1" applyNumberFormat="1" applyFont="1" applyFill="1" applyBorder="1" applyAlignment="1">
      <alignment horizontal="left"/>
    </xf>
    <xf numFmtId="3" fontId="20" fillId="0" borderId="0" xfId="0" applyNumberFormat="1" applyFont="1" applyFill="1" applyBorder="1" applyAlignment="1">
      <alignment horizontal="center"/>
    </xf>
    <xf numFmtId="171" fontId="3" fillId="0" borderId="0" xfId="1" applyNumberFormat="1" applyFont="1" applyFill="1" applyBorder="1" applyAlignment="1">
      <alignment horizontal="center"/>
    </xf>
    <xf numFmtId="169" fontId="3" fillId="0" borderId="0" xfId="2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9" fontId="5" fillId="0" borderId="0" xfId="2" applyNumberFormat="1" applyFont="1" applyFill="1" applyBorder="1" applyAlignment="1">
      <alignment horizontal="center"/>
    </xf>
    <xf numFmtId="164" fontId="23" fillId="0" borderId="0" xfId="2" applyNumberFormat="1" applyFont="1" applyFill="1" applyBorder="1" applyAlignment="1">
      <alignment horizontal="right"/>
    </xf>
    <xf numFmtId="164" fontId="32" fillId="0" borderId="0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0" fontId="3" fillId="0" borderId="2" xfId="0" quotePrefix="1" applyFont="1" applyFill="1" applyBorder="1" applyAlignment="1">
      <alignment horizontal="center"/>
    </xf>
    <xf numFmtId="9" fontId="4" fillId="0" borderId="3" xfId="0" applyNumberFormat="1" applyFont="1" applyFill="1" applyBorder="1" applyAlignment="1">
      <alignment horizontal="center"/>
    </xf>
    <xf numFmtId="171" fontId="4" fillId="0" borderId="3" xfId="1" applyNumberFormat="1" applyFont="1" applyFill="1" applyBorder="1" applyAlignment="1">
      <alignment horizontal="center"/>
    </xf>
    <xf numFmtId="164" fontId="3" fillId="0" borderId="3" xfId="2" applyNumberFormat="1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171" fontId="4" fillId="0" borderId="0" xfId="1" applyNumberFormat="1" applyFont="1" applyFill="1" applyBorder="1" applyAlignment="1">
      <alignment horizontal="center"/>
    </xf>
    <xf numFmtId="9" fontId="4" fillId="0" borderId="5" xfId="0" applyNumberFormat="1" applyFont="1" applyFill="1" applyBorder="1" applyAlignment="1">
      <alignment horizontal="center"/>
    </xf>
    <xf numFmtId="171" fontId="4" fillId="0" borderId="5" xfId="1" applyNumberFormat="1" applyFont="1" applyFill="1" applyBorder="1" applyAlignment="1">
      <alignment horizontal="center"/>
    </xf>
    <xf numFmtId="165" fontId="21" fillId="0" borderId="0" xfId="2" applyNumberFormat="1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9" fontId="5" fillId="0" borderId="0" xfId="2" applyFont="1" applyFill="1" applyBorder="1" applyAlignment="1">
      <alignment horizontal="center"/>
    </xf>
    <xf numFmtId="9" fontId="11" fillId="0" borderId="0" xfId="2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center"/>
    </xf>
    <xf numFmtId="171" fontId="9" fillId="0" borderId="0" xfId="1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9" fontId="3" fillId="0" borderId="0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9" fontId="5" fillId="0" borderId="1" xfId="2" applyNumberFormat="1" applyFont="1" applyFill="1" applyBorder="1" applyAlignment="1">
      <alignment horizontal="center"/>
    </xf>
    <xf numFmtId="9" fontId="7" fillId="0" borderId="0" xfId="2" applyNumberFormat="1" applyFont="1" applyFill="1" applyBorder="1" applyAlignment="1">
      <alignment horizontal="right"/>
    </xf>
    <xf numFmtId="164" fontId="7" fillId="0" borderId="0" xfId="2" applyNumberFormat="1" applyFont="1" applyFill="1" applyBorder="1" applyAlignment="1"/>
    <xf numFmtId="165" fontId="27" fillId="0" borderId="0" xfId="0" applyNumberFormat="1" applyFont="1" applyFill="1" applyBorder="1" applyAlignment="1">
      <alignment horizontal="center"/>
    </xf>
    <xf numFmtId="3" fontId="23" fillId="0" borderId="19" xfId="0" applyNumberFormat="1" applyFont="1" applyFill="1" applyBorder="1" applyAlignment="1">
      <alignment horizontal="right"/>
    </xf>
    <xf numFmtId="3" fontId="3" fillId="0" borderId="20" xfId="0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>
      <alignment horizontal="right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Continuous"/>
    </xf>
    <xf numFmtId="0" fontId="34" fillId="0" borderId="21" xfId="0" applyFont="1" applyFill="1" applyBorder="1" applyAlignment="1">
      <alignment horizontal="centerContinuous" vertical="center" wrapText="1"/>
    </xf>
    <xf numFmtId="0" fontId="0" fillId="0" borderId="22" xfId="0" applyFill="1" applyBorder="1" applyAlignment="1">
      <alignment horizontal="centerContinuous"/>
    </xf>
    <xf numFmtId="0" fontId="3" fillId="0" borderId="22" xfId="0" applyFont="1" applyFill="1" applyBorder="1" applyAlignment="1">
      <alignment horizontal="right"/>
    </xf>
    <xf numFmtId="0" fontId="3" fillId="0" borderId="22" xfId="0" applyFont="1" applyFill="1" applyBorder="1" applyAlignment="1">
      <alignment horizontal="center"/>
    </xf>
    <xf numFmtId="0" fontId="34" fillId="0" borderId="21" xfId="0" applyFont="1" applyFill="1" applyBorder="1" applyAlignment="1">
      <alignment horizontal="left" vertical="center" indent="2"/>
    </xf>
    <xf numFmtId="3" fontId="34" fillId="0" borderId="21" xfId="0" applyNumberFormat="1" applyFont="1" applyFill="1" applyBorder="1" applyAlignment="1">
      <alignment horizontal="left" indent="1"/>
    </xf>
    <xf numFmtId="0" fontId="3" fillId="0" borderId="24" xfId="0" applyFont="1" applyFill="1" applyBorder="1" applyAlignment="1">
      <alignment horizontal="center"/>
    </xf>
    <xf numFmtId="0" fontId="4" fillId="0" borderId="25" xfId="0" quotePrefix="1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3" fontId="22" fillId="0" borderId="25" xfId="0" applyNumberFormat="1" applyFont="1" applyFill="1" applyBorder="1" applyAlignment="1">
      <alignment horizontal="center"/>
    </xf>
    <xf numFmtId="3" fontId="22" fillId="0" borderId="25" xfId="0" applyNumberFormat="1" applyFont="1" applyFill="1" applyBorder="1" applyAlignment="1">
      <alignment horizontal="right"/>
    </xf>
    <xf numFmtId="3" fontId="22" fillId="0" borderId="26" xfId="0" applyNumberFormat="1" applyFont="1" applyFill="1" applyBorder="1" applyAlignment="1">
      <alignment horizontal="right"/>
    </xf>
  </cellXfs>
  <cellStyles count="345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2 2" xfId="40"/>
    <cellStyle name="Accent1 2 3" xfId="41"/>
    <cellStyle name="Accent1 3" xfId="42"/>
    <cellStyle name="Accent2 2" xfId="43"/>
    <cellStyle name="Accent2 3" xfId="44"/>
    <cellStyle name="Accent3 2" xfId="45"/>
    <cellStyle name="Accent3 3" xfId="46"/>
    <cellStyle name="Accent4 2" xfId="47"/>
    <cellStyle name="Accent4 3" xfId="48"/>
    <cellStyle name="Accent5 2" xfId="49"/>
    <cellStyle name="Accent5 3" xfId="50"/>
    <cellStyle name="Accent6 2" xfId="51"/>
    <cellStyle name="Accent6 3" xfId="52"/>
    <cellStyle name="Bad 2" xfId="53"/>
    <cellStyle name="Bad 3" xfId="54"/>
    <cellStyle name="Calculation 2" xfId="55"/>
    <cellStyle name="Calculation 3" xfId="56"/>
    <cellStyle name="Check Cell 2" xfId="57"/>
    <cellStyle name="Check Cell 3" xfId="58"/>
    <cellStyle name="Comma" xfId="1" builtinId="3"/>
    <cellStyle name="Comma 10" xfId="59"/>
    <cellStyle name="Comma 11" xfId="60"/>
    <cellStyle name="Comma 12" xfId="61"/>
    <cellStyle name="Comma 13" xfId="62"/>
    <cellStyle name="Comma 2" xfId="63"/>
    <cellStyle name="Comma 2 2" xfId="64"/>
    <cellStyle name="Comma 2 3" xfId="65"/>
    <cellStyle name="Comma 2 4" xfId="66"/>
    <cellStyle name="Comma 2 5" xfId="67"/>
    <cellStyle name="Comma 3" xfId="68"/>
    <cellStyle name="Comma 3 2" xfId="69"/>
    <cellStyle name="Comma 3 3" xfId="70"/>
    <cellStyle name="Comma 3 4" xfId="71"/>
    <cellStyle name="Comma 4" xfId="72"/>
    <cellStyle name="Comma 4 2" xfId="73"/>
    <cellStyle name="Comma 4 3" xfId="74"/>
    <cellStyle name="Comma 5" xfId="75"/>
    <cellStyle name="Comma 6" xfId="76"/>
    <cellStyle name="Comma 6 2" xfId="77"/>
    <cellStyle name="Comma 6 2 2" xfId="78"/>
    <cellStyle name="Comma 6 3" xfId="79"/>
    <cellStyle name="Comma 7" xfId="80"/>
    <cellStyle name="Comma 7 2" xfId="81"/>
    <cellStyle name="Comma 8" xfId="82"/>
    <cellStyle name="Comma 9" xfId="83"/>
    <cellStyle name="Currency 2" xfId="84"/>
    <cellStyle name="Currency 2 2" xfId="85"/>
    <cellStyle name="Currency 2 3" xfId="86"/>
    <cellStyle name="Currency 2 4" xfId="87"/>
    <cellStyle name="Currency 3" xfId="88"/>
    <cellStyle name="Currency 3 2" xfId="89"/>
    <cellStyle name="Currency 3 2 2" xfId="90"/>
    <cellStyle name="Currency 3 3" xfId="91"/>
    <cellStyle name="Currency 4" xfId="92"/>
    <cellStyle name="Currency 4 2" xfId="93"/>
    <cellStyle name="Currency 5" xfId="94"/>
    <cellStyle name="Currency 6" xfId="95"/>
    <cellStyle name="Explanatory Text 2" xfId="96"/>
    <cellStyle name="Explanatory Text 3" xfId="97"/>
    <cellStyle name="Good 2" xfId="98"/>
    <cellStyle name="Good 3" xfId="99"/>
    <cellStyle name="Heading 1 2" xfId="100"/>
    <cellStyle name="Heading 1 3" xfId="101"/>
    <cellStyle name="Heading 2 2" xfId="102"/>
    <cellStyle name="Heading 2 3" xfId="103"/>
    <cellStyle name="Heading 3 2" xfId="104"/>
    <cellStyle name="Heading 3 3" xfId="105"/>
    <cellStyle name="Heading 4 2" xfId="106"/>
    <cellStyle name="Heading 4 3" xfId="107"/>
    <cellStyle name="Hyperlink 2" xfId="108"/>
    <cellStyle name="Hyperlink 3" xfId="109"/>
    <cellStyle name="Input 2" xfId="110"/>
    <cellStyle name="Input 3" xfId="111"/>
    <cellStyle name="Linked Cell 2" xfId="112"/>
    <cellStyle name="Linked Cell 3" xfId="113"/>
    <cellStyle name="Neutral 2" xfId="114"/>
    <cellStyle name="Neutral 3" xfId="115"/>
    <cellStyle name="Normal" xfId="0" builtinId="0"/>
    <cellStyle name="Normal 10" xfId="116"/>
    <cellStyle name="Normal 10 2" xfId="117"/>
    <cellStyle name="Normal 10 3" xfId="118"/>
    <cellStyle name="Normal 11" xfId="119"/>
    <cellStyle name="Normal 11 2" xfId="120"/>
    <cellStyle name="Normal 11 3" xfId="121"/>
    <cellStyle name="Normal 12" xfId="122"/>
    <cellStyle name="Normal 12 2" xfId="123"/>
    <cellStyle name="Normal 13" xfId="124"/>
    <cellStyle name="Normal 13 2" xfId="125"/>
    <cellStyle name="Normal 14" xfId="126"/>
    <cellStyle name="Normal 14 2" xfId="127"/>
    <cellStyle name="Normal 15" xfId="128"/>
    <cellStyle name="Normal 15 2" xfId="129"/>
    <cellStyle name="Normal 15 2 2" xfId="130"/>
    <cellStyle name="Normal 15 3" xfId="131"/>
    <cellStyle name="Normal 15_SPSPricesWithProds0226908" xfId="132"/>
    <cellStyle name="Normal 16" xfId="133"/>
    <cellStyle name="Normal 16 2" xfId="134"/>
    <cellStyle name="Normal 16 2 2" xfId="135"/>
    <cellStyle name="Normal 16 3" xfId="136"/>
    <cellStyle name="Normal 16_SPSPricesWithProds0226908" xfId="137"/>
    <cellStyle name="Normal 17" xfId="138"/>
    <cellStyle name="Normal 17 2" xfId="139"/>
    <cellStyle name="Normal 17 2 2" xfId="140"/>
    <cellStyle name="Normal 17 3" xfId="141"/>
    <cellStyle name="Normal 17_SPSPricesWithProds0226908" xfId="142"/>
    <cellStyle name="Normal 18" xfId="143"/>
    <cellStyle name="Normal 18 2" xfId="144"/>
    <cellStyle name="Normal 18 2 2" xfId="145"/>
    <cellStyle name="Normal 18 3" xfId="146"/>
    <cellStyle name="Normal 18_SPSPricesWithProds0226908" xfId="147"/>
    <cellStyle name="Normal 19" xfId="148"/>
    <cellStyle name="Normal 19 2" xfId="149"/>
    <cellStyle name="Normal 19 2 2" xfId="150"/>
    <cellStyle name="Normal 19 3" xfId="151"/>
    <cellStyle name="Normal 2" xfId="152"/>
    <cellStyle name="Normal 2 10" xfId="153"/>
    <cellStyle name="Normal 2 10 2" xfId="154"/>
    <cellStyle name="Normal 2 11" xfId="155"/>
    <cellStyle name="Normal 2 11 2" xfId="156"/>
    <cellStyle name="Normal 2 12" xfId="157"/>
    <cellStyle name="Normal 2 12 2" xfId="158"/>
    <cellStyle name="Normal 2 13" xfId="159"/>
    <cellStyle name="Normal 2 13 2" xfId="160"/>
    <cellStyle name="Normal 2 14" xfId="161"/>
    <cellStyle name="Normal 2 14 2" xfId="162"/>
    <cellStyle name="Normal 2 15" xfId="163"/>
    <cellStyle name="Normal 2 15 2" xfId="164"/>
    <cellStyle name="Normal 2 16" xfId="165"/>
    <cellStyle name="Normal 2 16 2" xfId="166"/>
    <cellStyle name="Normal 2 17" xfId="167"/>
    <cellStyle name="Normal 2 17 2" xfId="168"/>
    <cellStyle name="Normal 2 18" xfId="169"/>
    <cellStyle name="Normal 2 18 2" xfId="170"/>
    <cellStyle name="Normal 2 19" xfId="171"/>
    <cellStyle name="Normal 2 19 2" xfId="172"/>
    <cellStyle name="Normal 2 2" xfId="173"/>
    <cellStyle name="Normal 2 2 2" xfId="174"/>
    <cellStyle name="Normal 2 2 3" xfId="175"/>
    <cellStyle name="Normal 2 2 4" xfId="176"/>
    <cellStyle name="Normal 2 20" xfId="177"/>
    <cellStyle name="Normal 2 20 2" xfId="178"/>
    <cellStyle name="Normal 2 21" xfId="179"/>
    <cellStyle name="Normal 2 21 2" xfId="180"/>
    <cellStyle name="Normal 2 22" xfId="181"/>
    <cellStyle name="Normal 2 23" xfId="182"/>
    <cellStyle name="Normal 2 24" xfId="183"/>
    <cellStyle name="Normal 2 3" xfId="184"/>
    <cellStyle name="Normal 2 3 2" xfId="185"/>
    <cellStyle name="Normal 2 4" xfId="186"/>
    <cellStyle name="Normal 2 4 2" xfId="187"/>
    <cellStyle name="Normal 2 5" xfId="188"/>
    <cellStyle name="Normal 2 5 2" xfId="189"/>
    <cellStyle name="Normal 2 6" xfId="190"/>
    <cellStyle name="Normal 2 6 2" xfId="191"/>
    <cellStyle name="Normal 2 7" xfId="192"/>
    <cellStyle name="Normal 2 7 2" xfId="193"/>
    <cellStyle name="Normal 2 8" xfId="194"/>
    <cellStyle name="Normal 2 8 2" xfId="195"/>
    <cellStyle name="Normal 2 9" xfId="196"/>
    <cellStyle name="Normal 2 9 2" xfId="197"/>
    <cellStyle name="Normal 2_Nonfirm" xfId="198"/>
    <cellStyle name="Normal 20" xfId="199"/>
    <cellStyle name="Normal 20 2" xfId="200"/>
    <cellStyle name="Normal 20 2 2" xfId="201"/>
    <cellStyle name="Normal 20 3" xfId="202"/>
    <cellStyle name="Normal 20_SPSPricesWithProds0226908" xfId="203"/>
    <cellStyle name="Normal 21" xfId="204"/>
    <cellStyle name="Normal 21 2" xfId="205"/>
    <cellStyle name="Normal 21 2 2" xfId="206"/>
    <cellStyle name="Normal 21 3" xfId="207"/>
    <cellStyle name="Normal 21_SPSPricesWithProds0226908" xfId="208"/>
    <cellStyle name="Normal 22" xfId="209"/>
    <cellStyle name="Normal 22 2" xfId="210"/>
    <cellStyle name="Normal 22 2 2" xfId="211"/>
    <cellStyle name="Normal 22 3" xfId="212"/>
    <cellStyle name="Normal 22_SPSPricesWithProds0226908" xfId="213"/>
    <cellStyle name="Normal 23" xfId="214"/>
    <cellStyle name="Normal 23 2" xfId="215"/>
    <cellStyle name="Normal 23 2 2" xfId="216"/>
    <cellStyle name="Normal 23 3" xfId="217"/>
    <cellStyle name="Normal 23_SPSPricesWithProds0226908" xfId="218"/>
    <cellStyle name="Normal 24" xfId="219"/>
    <cellStyle name="Normal 24 2" xfId="220"/>
    <cellStyle name="Normal 24 2 2" xfId="221"/>
    <cellStyle name="Normal 24 3" xfId="222"/>
    <cellStyle name="Normal 24_Nonfirm" xfId="223"/>
    <cellStyle name="Normal 25" xfId="224"/>
    <cellStyle name="Normal 25 2" xfId="225"/>
    <cellStyle name="Normal 26" xfId="226"/>
    <cellStyle name="Normal 26 2" xfId="227"/>
    <cellStyle name="Normal 27" xfId="228"/>
    <cellStyle name="Normal 27 2" xfId="229"/>
    <cellStyle name="Normal 28" xfId="230"/>
    <cellStyle name="Normal 29" xfId="231"/>
    <cellStyle name="Normal 3" xfId="232"/>
    <cellStyle name="Normal 3 2" xfId="233"/>
    <cellStyle name="Normal 3 2 2" xfId="234"/>
    <cellStyle name="Normal 3 3" xfId="235"/>
    <cellStyle name="Normal 3 3 2" xfId="236"/>
    <cellStyle name="Normal 3 4" xfId="237"/>
    <cellStyle name="Normal 3 4 2" xfId="238"/>
    <cellStyle name="Normal 3 5" xfId="239"/>
    <cellStyle name="Normal 3 5 2" xfId="240"/>
    <cellStyle name="Normal 3 6" xfId="241"/>
    <cellStyle name="Normal 3 6 2" xfId="242"/>
    <cellStyle name="Normal 3 7" xfId="243"/>
    <cellStyle name="Normal 3 7 2" xfId="244"/>
    <cellStyle name="Normal 3 8" xfId="245"/>
    <cellStyle name="Normal 3 9" xfId="246"/>
    <cellStyle name="Normal 3_Nonfirm" xfId="247"/>
    <cellStyle name="Normal 30" xfId="248"/>
    <cellStyle name="Normal 31" xfId="249"/>
    <cellStyle name="Normal 32" xfId="250"/>
    <cellStyle name="Normal 33" xfId="251"/>
    <cellStyle name="Normal 34" xfId="252"/>
    <cellStyle name="Normal 35" xfId="253"/>
    <cellStyle name="Normal 36" xfId="254"/>
    <cellStyle name="Normal 37" xfId="255"/>
    <cellStyle name="Normal 38" xfId="256"/>
    <cellStyle name="Normal 39" xfId="257"/>
    <cellStyle name="Normal 4" xfId="258"/>
    <cellStyle name="Normal 4 2" xfId="259"/>
    <cellStyle name="Normal 4 2 2" xfId="260"/>
    <cellStyle name="Normal 4 3" xfId="261"/>
    <cellStyle name="Normal 4 4" xfId="262"/>
    <cellStyle name="Normal 4 5" xfId="263"/>
    <cellStyle name="Normal 4_Nonfirm" xfId="264"/>
    <cellStyle name="Normal 40" xfId="265"/>
    <cellStyle name="Normal 41" xfId="266"/>
    <cellStyle name="Normal 42" xfId="267"/>
    <cellStyle name="Normal 43" xfId="268"/>
    <cellStyle name="Normal 44" xfId="269"/>
    <cellStyle name="Normal 45" xfId="270"/>
    <cellStyle name="Normal 46" xfId="271"/>
    <cellStyle name="Normal 47" xfId="272"/>
    <cellStyle name="Normal 48" xfId="273"/>
    <cellStyle name="Normal 49" xfId="274"/>
    <cellStyle name="Normal 5" xfId="275"/>
    <cellStyle name="Normal 5 10" xfId="276"/>
    <cellStyle name="Normal 5 2" xfId="277"/>
    <cellStyle name="Normal 5 2 2" xfId="278"/>
    <cellStyle name="Normal 5 3" xfId="279"/>
    <cellStyle name="Normal 5 3 2" xfId="280"/>
    <cellStyle name="Normal 5 3 2 2" xfId="281"/>
    <cellStyle name="Normal 5 3 3" xfId="282"/>
    <cellStyle name="Normal 5 3_Nonfirm" xfId="283"/>
    <cellStyle name="Normal 5 4" xfId="284"/>
    <cellStyle name="Normal 5 4 2" xfId="285"/>
    <cellStyle name="Normal 5 5" xfId="286"/>
    <cellStyle name="Normal 5 5 2" xfId="287"/>
    <cellStyle name="Normal 5 6" xfId="288"/>
    <cellStyle name="Normal 5 6 2" xfId="289"/>
    <cellStyle name="Normal 5 7" xfId="290"/>
    <cellStyle name="Normal 5 8" xfId="291"/>
    <cellStyle name="Normal 5 9" xfId="292"/>
    <cellStyle name="Normal 5_Rates" xfId="293"/>
    <cellStyle name="Normal 6" xfId="294"/>
    <cellStyle name="Normal 6 2" xfId="295"/>
    <cellStyle name="Normal 6 2 2" xfId="296"/>
    <cellStyle name="Normal 6 3" xfId="297"/>
    <cellStyle name="Normal 6_Nonfirm" xfId="298"/>
    <cellStyle name="Normal 7" xfId="299"/>
    <cellStyle name="Normal 7 2" xfId="300"/>
    <cellStyle name="Normal 7 2 2" xfId="301"/>
    <cellStyle name="Normal 7 3" xfId="302"/>
    <cellStyle name="Normal 7_Nonfirm" xfId="303"/>
    <cellStyle name="Normal 8" xfId="304"/>
    <cellStyle name="Normal 8 2" xfId="305"/>
    <cellStyle name="Normal 8 2 2" xfId="306"/>
    <cellStyle name="Normal 8 3" xfId="307"/>
    <cellStyle name="Normal 8_Nonfirm" xfId="308"/>
    <cellStyle name="Normal 9" xfId="309"/>
    <cellStyle name="Normal 9 2" xfId="310"/>
    <cellStyle name="Note 2" xfId="311"/>
    <cellStyle name="Note 2 2" xfId="312"/>
    <cellStyle name="Note 3" xfId="313"/>
    <cellStyle name="Note 4" xfId="314"/>
    <cellStyle name="Output 2" xfId="315"/>
    <cellStyle name="Output 3" xfId="316"/>
    <cellStyle name="Percent" xfId="2" builtinId="5"/>
    <cellStyle name="Percent 10" xfId="317"/>
    <cellStyle name="Percent 11" xfId="318"/>
    <cellStyle name="Percent 2" xfId="319"/>
    <cellStyle name="Percent 2 2" xfId="320"/>
    <cellStyle name="Percent 2 3" xfId="321"/>
    <cellStyle name="Percent 3" xfId="322"/>
    <cellStyle name="Percent 3 2" xfId="323"/>
    <cellStyle name="Percent 3 2 2" xfId="324"/>
    <cellStyle name="Percent 3 3" xfId="325"/>
    <cellStyle name="Percent 3 4" xfId="326"/>
    <cellStyle name="Percent 3 5" xfId="327"/>
    <cellStyle name="Percent 4" xfId="328"/>
    <cellStyle name="Percent 4 2" xfId="329"/>
    <cellStyle name="Percent 5" xfId="330"/>
    <cellStyle name="Percent 6" xfId="331"/>
    <cellStyle name="Percent 7" xfId="332"/>
    <cellStyle name="Percent 7 2" xfId="333"/>
    <cellStyle name="Percent 7 2 2" xfId="334"/>
    <cellStyle name="Percent 7 3" xfId="335"/>
    <cellStyle name="Percent 8" xfId="336"/>
    <cellStyle name="Percent 8 2" xfId="337"/>
    <cellStyle name="Percent 9" xfId="338"/>
    <cellStyle name="pricedatabold" xfId="339"/>
    <cellStyle name="Title 2" xfId="340"/>
    <cellStyle name="Total 2" xfId="341"/>
    <cellStyle name="Total 3" xfId="342"/>
    <cellStyle name="Warning Text 2" xfId="343"/>
    <cellStyle name="Warning Text 3" xfId="3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ubinfo.nalcorenergy.com/Market%20Analysis/RuralData/Forecast%20Spring%202018/Wabush%20Sping%202016%20Forecast%20-%2020%20Year%20Exten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 GS"/>
      <sheetName val="Wabush"/>
      <sheetName val="Wabush - High Case"/>
      <sheetName val="2015-2016Forecasts - Comparison"/>
    </sheetNames>
    <sheetDataSet>
      <sheetData sheetId="0" refreshError="1"/>
      <sheetData sheetId="1" refreshError="1">
        <row r="2">
          <cell r="B2">
            <v>1990</v>
          </cell>
        </row>
        <row r="18">
          <cell r="AA18">
            <v>1048.4749999999999</v>
          </cell>
        </row>
        <row r="19">
          <cell r="AA19">
            <v>98</v>
          </cell>
        </row>
        <row r="21">
          <cell r="AA21">
            <v>14140.249</v>
          </cell>
        </row>
        <row r="22">
          <cell r="AA22">
            <v>128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6"/>
  <sheetViews>
    <sheetView tabSelected="1" zoomScale="90" zoomScaleNormal="90" workbookViewId="0">
      <pane xSplit="1" ySplit="3" topLeftCell="R4" activePane="bottomRight" state="frozen"/>
      <selection activeCell="B35" sqref="B35"/>
      <selection pane="topRight" activeCell="B35" sqref="B35"/>
      <selection pane="bottomLeft" activeCell="B35" sqref="B35"/>
      <selection pane="bottomRight"/>
    </sheetView>
  </sheetViews>
  <sheetFormatPr defaultColWidth="9.140625" defaultRowHeight="15.75"/>
  <cols>
    <col min="1" max="1" width="28" style="133" customWidth="1"/>
    <col min="2" max="13" width="9.7109375" style="71" customWidth="1"/>
    <col min="14" max="14" width="9.85546875" style="71" customWidth="1"/>
    <col min="15" max="16" width="9.7109375" style="71" customWidth="1"/>
    <col min="17" max="17" width="10.42578125" style="71" customWidth="1"/>
    <col min="18" max="18" width="10.28515625" style="71" customWidth="1"/>
    <col min="19" max="19" width="10.28515625" style="155" customWidth="1"/>
    <col min="20" max="20" width="13" style="71" customWidth="1"/>
    <col min="21" max="25" width="9.5703125" style="50" customWidth="1"/>
    <col min="26" max="26" width="15.5703125" style="50" bestFit="1" customWidth="1"/>
    <col min="27" max="34" width="9.5703125" style="50" customWidth="1"/>
    <col min="35" max="16384" width="9.140625" style="133"/>
  </cols>
  <sheetData>
    <row r="1" spans="1:40">
      <c r="R1" s="115"/>
      <c r="S1" s="152"/>
    </row>
    <row r="2" spans="1:40" s="71" customFormat="1" ht="36" customHeight="1">
      <c r="A2" s="63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53"/>
      <c r="T2" s="251" t="s">
        <v>52</v>
      </c>
      <c r="U2" s="252"/>
      <c r="V2" s="252"/>
      <c r="W2" s="252"/>
      <c r="X2" s="252"/>
      <c r="Y2" s="250"/>
      <c r="Z2" s="255" t="s">
        <v>53</v>
      </c>
      <c r="AA2" s="253"/>
      <c r="AB2" s="253"/>
      <c r="AC2" s="253"/>
      <c r="AD2" s="253"/>
      <c r="AE2" s="253"/>
      <c r="AF2" s="253"/>
      <c r="AG2" s="253"/>
      <c r="AH2" s="253"/>
      <c r="AI2" s="254"/>
      <c r="AJ2" s="254"/>
      <c r="AK2" s="254"/>
      <c r="AL2" s="254"/>
      <c r="AM2" s="254"/>
      <c r="AN2" s="249"/>
    </row>
    <row r="3" spans="1:40" s="88" customFormat="1" ht="25.5" customHeight="1">
      <c r="A3" s="88" t="s">
        <v>17</v>
      </c>
      <c r="B3" s="88">
        <v>2000</v>
      </c>
      <c r="C3" s="88">
        <v>2001</v>
      </c>
      <c r="D3" s="88">
        <v>2002</v>
      </c>
      <c r="E3" s="88">
        <v>2003</v>
      </c>
      <c r="F3" s="88">
        <v>2004</v>
      </c>
      <c r="G3" s="88">
        <v>2005</v>
      </c>
      <c r="H3" s="88">
        <v>2006</v>
      </c>
      <c r="I3" s="88">
        <v>2007</v>
      </c>
      <c r="J3" s="88">
        <v>2008</v>
      </c>
      <c r="K3" s="88">
        <v>2009</v>
      </c>
      <c r="L3" s="88">
        <v>2010</v>
      </c>
      <c r="M3" s="88">
        <v>2011</v>
      </c>
      <c r="N3" s="88">
        <v>2012</v>
      </c>
      <c r="O3" s="88">
        <f t="shared" ref="O3:AB3" si="0">+N3+1</f>
        <v>2013</v>
      </c>
      <c r="P3" s="88">
        <f t="shared" si="0"/>
        <v>2014</v>
      </c>
      <c r="Q3" s="88">
        <f t="shared" si="0"/>
        <v>2015</v>
      </c>
      <c r="R3" s="88">
        <f t="shared" si="0"/>
        <v>2016</v>
      </c>
      <c r="S3" s="154">
        <f t="shared" si="0"/>
        <v>2017</v>
      </c>
      <c r="T3" s="59">
        <f t="shared" si="0"/>
        <v>2018</v>
      </c>
      <c r="U3" s="59">
        <f>+T3+1</f>
        <v>2019</v>
      </c>
      <c r="V3" s="59">
        <f>+U3+1</f>
        <v>2020</v>
      </c>
      <c r="W3" s="59">
        <f t="shared" si="0"/>
        <v>2021</v>
      </c>
      <c r="X3" s="59">
        <f t="shared" si="0"/>
        <v>2022</v>
      </c>
      <c r="Y3" s="59">
        <f t="shared" si="0"/>
        <v>2023</v>
      </c>
      <c r="Z3" s="59">
        <f t="shared" si="0"/>
        <v>2024</v>
      </c>
      <c r="AA3" s="59">
        <f t="shared" si="0"/>
        <v>2025</v>
      </c>
      <c r="AB3" s="59">
        <f t="shared" si="0"/>
        <v>2026</v>
      </c>
      <c r="AC3" s="59">
        <f t="shared" ref="AC3:AN3" si="1">+AB3+1</f>
        <v>2027</v>
      </c>
      <c r="AD3" s="59">
        <f t="shared" si="1"/>
        <v>2028</v>
      </c>
      <c r="AE3" s="59">
        <f t="shared" si="1"/>
        <v>2029</v>
      </c>
      <c r="AF3" s="59">
        <f t="shared" si="1"/>
        <v>2030</v>
      </c>
      <c r="AG3" s="59">
        <f t="shared" si="1"/>
        <v>2031</v>
      </c>
      <c r="AH3" s="59">
        <f t="shared" si="1"/>
        <v>2032</v>
      </c>
      <c r="AI3" s="59">
        <f t="shared" si="1"/>
        <v>2033</v>
      </c>
      <c r="AJ3" s="59">
        <f t="shared" si="1"/>
        <v>2034</v>
      </c>
      <c r="AK3" s="59">
        <f t="shared" si="1"/>
        <v>2035</v>
      </c>
      <c r="AL3" s="59">
        <f t="shared" si="1"/>
        <v>2036</v>
      </c>
      <c r="AM3" s="59">
        <f t="shared" si="1"/>
        <v>2037</v>
      </c>
      <c r="AN3" s="59">
        <f t="shared" si="1"/>
        <v>2038</v>
      </c>
    </row>
    <row r="4" spans="1:40" s="71" customFormat="1" ht="23.25" customHeight="1">
      <c r="A4" s="199" t="s">
        <v>9</v>
      </c>
      <c r="B4" s="63">
        <v>2602</v>
      </c>
      <c r="C4" s="63">
        <v>2875</v>
      </c>
      <c r="D4" s="63">
        <v>3212</v>
      </c>
      <c r="E4" s="63">
        <v>3266</v>
      </c>
      <c r="F4" s="63">
        <v>3378</v>
      </c>
      <c r="G4" s="63">
        <v>3378</v>
      </c>
      <c r="H4" s="63">
        <v>3315</v>
      </c>
      <c r="I4" s="63">
        <v>3579.8</v>
      </c>
      <c r="J4" s="63">
        <v>3697</v>
      </c>
      <c r="K4" s="63">
        <v>1297</v>
      </c>
      <c r="L4" s="63">
        <v>1082.5999999999999</v>
      </c>
      <c r="M4" s="63">
        <v>1228.787</v>
      </c>
      <c r="N4" s="63">
        <v>1059</v>
      </c>
      <c r="O4" s="63">
        <v>1105.857</v>
      </c>
      <c r="P4" s="63">
        <v>1165.75</v>
      </c>
      <c r="Q4" s="63">
        <v>1266.5419999999999</v>
      </c>
      <c r="R4" s="63">
        <v>1151.1189999999999</v>
      </c>
      <c r="S4" s="132">
        <v>1214.5619999999999</v>
      </c>
      <c r="T4" s="48">
        <f t="shared" ref="T4" si="2">T7/1000*((S5+T5)/2)</f>
        <v>1163.375</v>
      </c>
      <c r="U4" s="48">
        <f>U7/1000*((T5+U5)/2)</f>
        <v>1132.625</v>
      </c>
      <c r="V4" s="48">
        <f>V7/1000*((U5+V5)/2)</f>
        <v>1101.875</v>
      </c>
      <c r="W4" s="48">
        <f>W7/1000*((V5+W5)/2)</f>
        <v>1076.25</v>
      </c>
      <c r="X4" s="48">
        <f>X7/1000*((W5+X5)/2)</f>
        <v>1055.75</v>
      </c>
      <c r="Y4" s="48">
        <f>Y7/1000*((X5+Y5)/2)</f>
        <v>1035.25</v>
      </c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</row>
    <row r="5" spans="1:40" s="71" customFormat="1" ht="15" customHeight="1">
      <c r="A5" s="71" t="s">
        <v>8</v>
      </c>
      <c r="B5" s="63">
        <v>246</v>
      </c>
      <c r="C5" s="63">
        <v>251</v>
      </c>
      <c r="D5" s="63">
        <v>252</v>
      </c>
      <c r="E5" s="63">
        <v>249</v>
      </c>
      <c r="F5" s="63">
        <v>247</v>
      </c>
      <c r="G5" s="63">
        <v>245</v>
      </c>
      <c r="H5" s="63">
        <v>237</v>
      </c>
      <c r="I5" s="63">
        <v>236</v>
      </c>
      <c r="J5" s="63">
        <v>217</v>
      </c>
      <c r="K5" s="63">
        <v>150</v>
      </c>
      <c r="L5" s="63">
        <v>145</v>
      </c>
      <c r="M5" s="63">
        <v>136</v>
      </c>
      <c r="N5" s="63">
        <v>132</v>
      </c>
      <c r="O5" s="63">
        <v>129</v>
      </c>
      <c r="P5" s="63">
        <v>127</v>
      </c>
      <c r="Q5" s="63">
        <v>121</v>
      </c>
      <c r="R5" s="63">
        <v>120</v>
      </c>
      <c r="S5" s="132">
        <v>115</v>
      </c>
      <c r="T5" s="48">
        <f t="shared" ref="T5" si="3">S5+T6</f>
        <v>112</v>
      </c>
      <c r="U5" s="48">
        <f>T5+U6</f>
        <v>109</v>
      </c>
      <c r="V5" s="48">
        <f>U5+V6</f>
        <v>106</v>
      </c>
      <c r="W5" s="48">
        <f>V5+W6</f>
        <v>104</v>
      </c>
      <c r="X5" s="48">
        <f>W5+X6</f>
        <v>102</v>
      </c>
      <c r="Y5" s="48">
        <f>X5+Y6</f>
        <v>100</v>
      </c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</row>
    <row r="6" spans="1:40" s="71" customFormat="1" ht="15" customHeight="1">
      <c r="A6" s="71" t="s">
        <v>7</v>
      </c>
      <c r="B6" s="90"/>
      <c r="C6" s="90">
        <f t="shared" ref="C6:E6" si="4">C5-B5</f>
        <v>5</v>
      </c>
      <c r="D6" s="90">
        <f>D5-C5</f>
        <v>1</v>
      </c>
      <c r="E6" s="90">
        <f t="shared" si="4"/>
        <v>-3</v>
      </c>
      <c r="F6" s="90">
        <f t="shared" ref="F6:L6" si="5">F5-E5</f>
        <v>-2</v>
      </c>
      <c r="G6" s="90">
        <f t="shared" si="5"/>
        <v>-2</v>
      </c>
      <c r="H6" s="90">
        <f t="shared" si="5"/>
        <v>-8</v>
      </c>
      <c r="I6" s="90">
        <f t="shared" si="5"/>
        <v>-1</v>
      </c>
      <c r="J6" s="90">
        <f t="shared" si="5"/>
        <v>-19</v>
      </c>
      <c r="K6" s="90">
        <f t="shared" si="5"/>
        <v>-67</v>
      </c>
      <c r="L6" s="90">
        <f t="shared" si="5"/>
        <v>-5</v>
      </c>
      <c r="M6" s="90">
        <f t="shared" ref="M6:S6" si="6">M5-L5</f>
        <v>-9</v>
      </c>
      <c r="N6" s="90">
        <f t="shared" si="6"/>
        <v>-4</v>
      </c>
      <c r="O6" s="90">
        <f t="shared" si="6"/>
        <v>-3</v>
      </c>
      <c r="P6" s="90">
        <f t="shared" si="6"/>
        <v>-2</v>
      </c>
      <c r="Q6" s="90">
        <f t="shared" si="6"/>
        <v>-6</v>
      </c>
      <c r="R6" s="90">
        <f t="shared" si="6"/>
        <v>-1</v>
      </c>
      <c r="S6" s="149">
        <f t="shared" si="6"/>
        <v>-5</v>
      </c>
      <c r="T6" s="49">
        <v>-3</v>
      </c>
      <c r="U6" s="49">
        <v>-3</v>
      </c>
      <c r="V6" s="49">
        <v>-3</v>
      </c>
      <c r="W6" s="49">
        <v>-2</v>
      </c>
      <c r="X6" s="49">
        <v>-2</v>
      </c>
      <c r="Y6" s="49">
        <v>-2</v>
      </c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</row>
    <row r="7" spans="1:40" s="71" customFormat="1" ht="15" customHeight="1">
      <c r="A7" s="71" t="s">
        <v>6</v>
      </c>
      <c r="B7" s="90"/>
      <c r="C7" s="90">
        <f t="shared" ref="C7:E7" si="7">C4*1000/((B5+C5)/2)</f>
        <v>11569.416498993964</v>
      </c>
      <c r="D7" s="90">
        <f>D4*1000/((C5+D5)/2)</f>
        <v>12771.371769383697</v>
      </c>
      <c r="E7" s="90">
        <f t="shared" si="7"/>
        <v>13037.924151696607</v>
      </c>
      <c r="F7" s="90">
        <f t="shared" ref="F7:L7" si="8">F4*1000/((E5+F5)/2)</f>
        <v>13620.967741935483</v>
      </c>
      <c r="G7" s="90">
        <f t="shared" si="8"/>
        <v>13731.707317073171</v>
      </c>
      <c r="H7" s="90">
        <f t="shared" si="8"/>
        <v>13755.186721991702</v>
      </c>
      <c r="I7" s="90">
        <f t="shared" si="8"/>
        <v>15136.575052854123</v>
      </c>
      <c r="J7" s="90">
        <f t="shared" si="8"/>
        <v>16322.295805739514</v>
      </c>
      <c r="K7" s="90">
        <f t="shared" si="8"/>
        <v>7068.1198910081748</v>
      </c>
      <c r="L7" s="90">
        <f t="shared" si="8"/>
        <v>7339.6610169491523</v>
      </c>
      <c r="M7" s="90">
        <f t="shared" ref="M7:S7" si="9">M4*1000/((L5+M5)/2)</f>
        <v>8745.8149466192172</v>
      </c>
      <c r="N7" s="90">
        <f t="shared" si="9"/>
        <v>7902.9850746268658</v>
      </c>
      <c r="O7" s="90">
        <f t="shared" si="9"/>
        <v>8474</v>
      </c>
      <c r="P7" s="90">
        <f t="shared" si="9"/>
        <v>9107.421875</v>
      </c>
      <c r="Q7" s="90">
        <f t="shared" si="9"/>
        <v>10214.048387096775</v>
      </c>
      <c r="R7" s="90">
        <f t="shared" si="9"/>
        <v>9552.8547717842321</v>
      </c>
      <c r="S7" s="149">
        <f t="shared" si="9"/>
        <v>10336.697872340426</v>
      </c>
      <c r="T7" s="48">
        <v>10250</v>
      </c>
      <c r="U7" s="48">
        <f t="shared" ref="U7:Y7" si="10">T7</f>
        <v>10250</v>
      </c>
      <c r="V7" s="48">
        <f t="shared" si="10"/>
        <v>10250</v>
      </c>
      <c r="W7" s="48">
        <f t="shared" si="10"/>
        <v>10250</v>
      </c>
      <c r="X7" s="48">
        <f t="shared" si="10"/>
        <v>10250</v>
      </c>
      <c r="Y7" s="48">
        <f t="shared" si="10"/>
        <v>10250</v>
      </c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</row>
    <row r="8" spans="1:40" s="71" customFormat="1" ht="15" customHeight="1"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O8" s="56"/>
      <c r="P8" s="50"/>
      <c r="Q8" s="63"/>
      <c r="S8" s="155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</row>
    <row r="9" spans="1:40" s="71" customFormat="1" ht="15" customHeight="1">
      <c r="A9" s="199" t="s">
        <v>10</v>
      </c>
      <c r="B9" s="63">
        <v>87832</v>
      </c>
      <c r="C9" s="63">
        <v>87624</v>
      </c>
      <c r="D9" s="63">
        <v>96645</v>
      </c>
      <c r="E9" s="63">
        <v>92591</v>
      </c>
      <c r="F9" s="63">
        <v>95606</v>
      </c>
      <c r="G9" s="63">
        <v>94420</v>
      </c>
      <c r="H9" s="63">
        <v>92013</v>
      </c>
      <c r="I9" s="63">
        <v>102177.1</v>
      </c>
      <c r="J9" s="63">
        <v>104654</v>
      </c>
      <c r="K9" s="63">
        <v>109255</v>
      </c>
      <c r="L9" s="63">
        <v>99484.9</v>
      </c>
      <c r="M9" s="63">
        <v>113172.66</v>
      </c>
      <c r="N9" s="63">
        <v>116011</v>
      </c>
      <c r="O9" s="63">
        <v>122588.481</v>
      </c>
      <c r="P9" s="63">
        <v>131932.97</v>
      </c>
      <c r="Q9" s="63">
        <v>136789.149</v>
      </c>
      <c r="R9" s="63">
        <v>132092.39499999999</v>
      </c>
      <c r="S9" s="132">
        <v>134382.69500000001</v>
      </c>
      <c r="T9" s="48">
        <f t="shared" ref="T9" si="11">T12/1000*((S10+T10)/2)</f>
        <v>135542</v>
      </c>
      <c r="U9" s="48">
        <f>U12/1000*((T10+U10)/2)</f>
        <v>136701</v>
      </c>
      <c r="V9" s="48">
        <f>V12/1000*((U10+V10)/2)</f>
        <v>137401.74129353237</v>
      </c>
      <c r="W9" s="48">
        <f>W12/1000*((V10+W10)/2)</f>
        <v>138303.5073389273</v>
      </c>
      <c r="X9" s="48">
        <f>X12/1000*((W10+X10)/2)</f>
        <v>139177.87612025271</v>
      </c>
      <c r="Y9" s="48">
        <f>Y12/1000*((X10+Y10)/2)</f>
        <v>140040.12144529165</v>
      </c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</row>
    <row r="10" spans="1:40" s="71" customFormat="1" ht="15" customHeight="1">
      <c r="A10" s="71" t="s">
        <v>8</v>
      </c>
      <c r="B10" s="63">
        <v>3100</v>
      </c>
      <c r="C10" s="63">
        <v>3169</v>
      </c>
      <c r="D10" s="63">
        <v>3214</v>
      </c>
      <c r="E10" s="63">
        <v>3240</v>
      </c>
      <c r="F10" s="63">
        <v>3290</v>
      </c>
      <c r="G10" s="63">
        <v>3336</v>
      </c>
      <c r="H10" s="63">
        <v>3392</v>
      </c>
      <c r="I10" s="63">
        <v>3449</v>
      </c>
      <c r="J10" s="63">
        <v>3540</v>
      </c>
      <c r="K10" s="63">
        <v>3721</v>
      </c>
      <c r="L10" s="63">
        <v>3867</v>
      </c>
      <c r="M10" s="63">
        <v>3962</v>
      </c>
      <c r="N10" s="63">
        <v>4101</v>
      </c>
      <c r="O10" s="63">
        <v>4231</v>
      </c>
      <c r="P10" s="63">
        <v>4306</v>
      </c>
      <c r="Q10" s="63">
        <v>4358</v>
      </c>
      <c r="R10" s="63">
        <v>4411</v>
      </c>
      <c r="S10" s="132">
        <v>4425</v>
      </c>
      <c r="T10" s="48">
        <f t="shared" ref="T10:Y10" si="12">+S10+T11</f>
        <v>4463</v>
      </c>
      <c r="U10" s="48">
        <f t="shared" si="12"/>
        <v>4501</v>
      </c>
      <c r="V10" s="48">
        <f t="shared" si="12"/>
        <v>4554</v>
      </c>
      <c r="W10" s="48">
        <f t="shared" si="12"/>
        <v>4606</v>
      </c>
      <c r="X10" s="48">
        <f t="shared" si="12"/>
        <v>4658</v>
      </c>
      <c r="Y10" s="48">
        <f t="shared" si="12"/>
        <v>4710</v>
      </c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</row>
    <row r="11" spans="1:40" s="71" customFormat="1" ht="15" customHeight="1">
      <c r="A11" s="71" t="s">
        <v>7</v>
      </c>
      <c r="B11" s="90"/>
      <c r="C11" s="90">
        <f t="shared" ref="C11:E11" si="13">C10-B10</f>
        <v>69</v>
      </c>
      <c r="D11" s="90">
        <f>D10-C10</f>
        <v>45</v>
      </c>
      <c r="E11" s="90">
        <f t="shared" si="13"/>
        <v>26</v>
      </c>
      <c r="F11" s="90">
        <f t="shared" ref="F11:J11" si="14">F10-E10</f>
        <v>50</v>
      </c>
      <c r="G11" s="90">
        <f t="shared" si="14"/>
        <v>46</v>
      </c>
      <c r="H11" s="90">
        <f t="shared" si="14"/>
        <v>56</v>
      </c>
      <c r="I11" s="90">
        <f t="shared" si="14"/>
        <v>57</v>
      </c>
      <c r="J11" s="90">
        <f t="shared" si="14"/>
        <v>91</v>
      </c>
      <c r="K11" s="90">
        <f>K10-J10</f>
        <v>181</v>
      </c>
      <c r="L11" s="90">
        <f>L10-K10</f>
        <v>146</v>
      </c>
      <c r="M11" s="90">
        <f t="shared" ref="M11:S11" si="15">M10-L10</f>
        <v>95</v>
      </c>
      <c r="N11" s="90">
        <f t="shared" si="15"/>
        <v>139</v>
      </c>
      <c r="O11" s="90">
        <f t="shared" si="15"/>
        <v>130</v>
      </c>
      <c r="P11" s="90">
        <f t="shared" si="15"/>
        <v>75</v>
      </c>
      <c r="Q11" s="90">
        <f t="shared" si="15"/>
        <v>52</v>
      </c>
      <c r="R11" s="90">
        <f t="shared" si="15"/>
        <v>53</v>
      </c>
      <c r="S11" s="149">
        <f t="shared" si="15"/>
        <v>14</v>
      </c>
      <c r="T11" s="49">
        <v>38</v>
      </c>
      <c r="U11" s="49">
        <f t="shared" ref="U11" si="16">T11</f>
        <v>38</v>
      </c>
      <c r="V11" s="49">
        <v>53</v>
      </c>
      <c r="W11" s="49">
        <v>52</v>
      </c>
      <c r="X11" s="49">
        <v>52</v>
      </c>
      <c r="Y11" s="49">
        <v>52</v>
      </c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</row>
    <row r="12" spans="1:40" s="71" customFormat="1" ht="15" customHeight="1">
      <c r="A12" s="71" t="s">
        <v>6</v>
      </c>
      <c r="B12" s="90"/>
      <c r="C12" s="90">
        <f t="shared" ref="C12:E12" si="17">C9*1000/((B10+C10)/2)</f>
        <v>27954.69771893444</v>
      </c>
      <c r="D12" s="90">
        <f>D9*1000/((C10+D10)/2)</f>
        <v>30281.999060003134</v>
      </c>
      <c r="E12" s="90">
        <f t="shared" si="17"/>
        <v>28692.593740316082</v>
      </c>
      <c r="F12" s="90">
        <f t="shared" ref="F12:L12" si="18">F9*1000/((E10+F10)/2)</f>
        <v>29282.08269525268</v>
      </c>
      <c r="G12" s="90">
        <f t="shared" si="18"/>
        <v>28499.849079384243</v>
      </c>
      <c r="H12" s="90">
        <f t="shared" si="18"/>
        <v>27352.259215219976</v>
      </c>
      <c r="I12" s="90">
        <f t="shared" si="18"/>
        <v>29871.977781026166</v>
      </c>
      <c r="J12" s="90">
        <f t="shared" si="18"/>
        <v>29948.204321075977</v>
      </c>
      <c r="K12" s="90">
        <f t="shared" si="18"/>
        <v>30093.651012257265</v>
      </c>
      <c r="L12" s="90">
        <f t="shared" si="18"/>
        <v>26221.639430680021</v>
      </c>
      <c r="M12" s="90">
        <f t="shared" ref="M12:S12" si="19">M9*1000/((L10+M10)/2)</f>
        <v>28911.140630987356</v>
      </c>
      <c r="N12" s="90">
        <f t="shared" si="19"/>
        <v>28776.137913927818</v>
      </c>
      <c r="O12" s="90">
        <f t="shared" si="19"/>
        <v>29425.943590974555</v>
      </c>
      <c r="P12" s="90">
        <f t="shared" si="19"/>
        <v>30908.508843856154</v>
      </c>
      <c r="Q12" s="90">
        <f t="shared" si="19"/>
        <v>31576.442520775625</v>
      </c>
      <c r="R12" s="90">
        <f t="shared" si="19"/>
        <v>30127.128520925988</v>
      </c>
      <c r="S12" s="149">
        <f t="shared" si="19"/>
        <v>30417.088048890902</v>
      </c>
      <c r="T12" s="49">
        <v>30500</v>
      </c>
      <c r="U12" s="49">
        <v>30500</v>
      </c>
      <c r="V12" s="48">
        <f t="shared" ref="V12:Y12" si="20">U12/1.005</f>
        <v>30348.258706467666</v>
      </c>
      <c r="W12" s="48">
        <f t="shared" si="20"/>
        <v>30197.272344743949</v>
      </c>
      <c r="X12" s="48">
        <f t="shared" si="20"/>
        <v>30047.037158949206</v>
      </c>
      <c r="Y12" s="48">
        <f t="shared" si="20"/>
        <v>29897.549411889759</v>
      </c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</row>
    <row r="13" spans="1:40" s="71" customFormat="1" ht="15" customHeight="1"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63"/>
      <c r="P13" s="49"/>
      <c r="Q13" s="63"/>
      <c r="R13" s="116"/>
      <c r="S13" s="156"/>
      <c r="T13" s="49"/>
      <c r="U13" s="49"/>
      <c r="V13" s="49"/>
      <c r="W13" s="60"/>
      <c r="X13" s="60"/>
      <c r="Y13" s="6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</row>
    <row r="14" spans="1:40" s="71" customFormat="1" ht="15" customHeight="1">
      <c r="A14" s="71" t="s">
        <v>29</v>
      </c>
      <c r="B14" s="90">
        <f t="shared" ref="B14:T14" si="21">+B4+B9</f>
        <v>90434</v>
      </c>
      <c r="C14" s="90">
        <f t="shared" si="21"/>
        <v>90499</v>
      </c>
      <c r="D14" s="90">
        <f t="shared" si="21"/>
        <v>99857</v>
      </c>
      <c r="E14" s="90">
        <f t="shared" si="21"/>
        <v>95857</v>
      </c>
      <c r="F14" s="90">
        <f t="shared" ref="F14:H15" si="22">+F4+F9</f>
        <v>98984</v>
      </c>
      <c r="G14" s="90">
        <f t="shared" si="22"/>
        <v>97798</v>
      </c>
      <c r="H14" s="90">
        <f t="shared" si="22"/>
        <v>95328</v>
      </c>
      <c r="I14" s="90">
        <f t="shared" ref="I14:L15" si="23">+I4+I9</f>
        <v>105756.90000000001</v>
      </c>
      <c r="J14" s="90">
        <f t="shared" si="23"/>
        <v>108351</v>
      </c>
      <c r="K14" s="90">
        <f t="shared" si="23"/>
        <v>110552</v>
      </c>
      <c r="L14" s="90">
        <f t="shared" si="23"/>
        <v>100567.5</v>
      </c>
      <c r="M14" s="90">
        <f t="shared" ref="M14:N15" si="24">+M4+M9</f>
        <v>114401.447</v>
      </c>
      <c r="N14" s="90">
        <f t="shared" si="24"/>
        <v>117070</v>
      </c>
      <c r="O14" s="90">
        <f t="shared" ref="O14:P14" si="25">+O4+O9</f>
        <v>123694.338</v>
      </c>
      <c r="P14" s="90">
        <f t="shared" si="25"/>
        <v>133098.72</v>
      </c>
      <c r="Q14" s="90">
        <f t="shared" ref="Q14" si="26">+Q4+Q9</f>
        <v>138055.69099999999</v>
      </c>
      <c r="R14" s="90">
        <f t="shared" si="21"/>
        <v>133243.514</v>
      </c>
      <c r="S14" s="149">
        <f t="shared" si="21"/>
        <v>135597.25700000001</v>
      </c>
      <c r="T14" s="48">
        <f t="shared" si="21"/>
        <v>136705.375</v>
      </c>
      <c r="U14" s="48">
        <f>+U4+U9</f>
        <v>137833.625</v>
      </c>
      <c r="V14" s="48">
        <f>+V4+V9</f>
        <v>138503.61629353237</v>
      </c>
      <c r="W14" s="48">
        <f>+W4+W9</f>
        <v>139379.7573389273</v>
      </c>
      <c r="X14" s="48">
        <f>+X4+X9</f>
        <v>140233.62612025271</v>
      </c>
      <c r="Y14" s="48">
        <f>+Y4+Y9</f>
        <v>141075.37144529165</v>
      </c>
      <c r="Z14" s="48">
        <f t="shared" ref="Z14:AN14" si="27">Z17/1000*((Y15+Z15)/2)</f>
        <v>141766.97131050535</v>
      </c>
      <c r="AA14" s="48">
        <f t="shared" si="27"/>
        <v>142375.222195693</v>
      </c>
      <c r="AB14" s="48">
        <f t="shared" si="27"/>
        <v>142973.91183667493</v>
      </c>
      <c r="AC14" s="48">
        <f t="shared" si="27"/>
        <v>143563.12031486709</v>
      </c>
      <c r="AD14" s="48">
        <f t="shared" si="27"/>
        <v>144142.92715151396</v>
      </c>
      <c r="AE14" s="48">
        <f t="shared" si="27"/>
        <v>144641.87724735984</v>
      </c>
      <c r="AF14" s="48">
        <f t="shared" si="27"/>
        <v>145061.11668665547</v>
      </c>
      <c r="AG14" s="48">
        <f t="shared" si="27"/>
        <v>145472.60443337305</v>
      </c>
      <c r="AH14" s="48">
        <f t="shared" si="27"/>
        <v>145876.40724182507</v>
      </c>
      <c r="AI14" s="48">
        <f t="shared" si="27"/>
        <v>146272.5913939708</v>
      </c>
      <c r="AJ14" s="48">
        <f t="shared" si="27"/>
        <v>146591.45047472737</v>
      </c>
      <c r="AK14" s="48">
        <f t="shared" si="27"/>
        <v>146834.09120700561</v>
      </c>
      <c r="AL14" s="48">
        <f t="shared" si="27"/>
        <v>147070.68919220209</v>
      </c>
      <c r="AM14" s="48">
        <f t="shared" si="27"/>
        <v>147301.29855134338</v>
      </c>
      <c r="AN14" s="48">
        <f t="shared" si="27"/>
        <v>147525.9730165076</v>
      </c>
    </row>
    <row r="15" spans="1:40" s="71" customFormat="1" ht="15" customHeight="1">
      <c r="A15" s="71" t="s">
        <v>8</v>
      </c>
      <c r="B15" s="90">
        <f t="shared" ref="B15:U15" si="28">+B5+B10</f>
        <v>3346</v>
      </c>
      <c r="C15" s="90">
        <f t="shared" si="28"/>
        <v>3420</v>
      </c>
      <c r="D15" s="90">
        <f t="shared" si="28"/>
        <v>3466</v>
      </c>
      <c r="E15" s="90">
        <f t="shared" si="28"/>
        <v>3489</v>
      </c>
      <c r="F15" s="90">
        <f t="shared" si="22"/>
        <v>3537</v>
      </c>
      <c r="G15" s="90">
        <f t="shared" si="22"/>
        <v>3581</v>
      </c>
      <c r="H15" s="90">
        <f t="shared" si="22"/>
        <v>3629</v>
      </c>
      <c r="I15" s="90">
        <f t="shared" si="23"/>
        <v>3685</v>
      </c>
      <c r="J15" s="90">
        <f t="shared" si="23"/>
        <v>3757</v>
      </c>
      <c r="K15" s="90">
        <f t="shared" si="23"/>
        <v>3871</v>
      </c>
      <c r="L15" s="90">
        <f t="shared" si="23"/>
        <v>4012</v>
      </c>
      <c r="M15" s="90">
        <f t="shared" ref="M15" si="29">+M5+M10</f>
        <v>4098</v>
      </c>
      <c r="N15" s="90">
        <f t="shared" si="24"/>
        <v>4233</v>
      </c>
      <c r="O15" s="90">
        <f t="shared" ref="O15:P15" si="30">+O5+O10</f>
        <v>4360</v>
      </c>
      <c r="P15" s="90">
        <f t="shared" si="30"/>
        <v>4433</v>
      </c>
      <c r="Q15" s="90">
        <f t="shared" ref="Q15" si="31">+Q5+Q10</f>
        <v>4479</v>
      </c>
      <c r="R15" s="90">
        <f t="shared" si="28"/>
        <v>4531</v>
      </c>
      <c r="S15" s="149">
        <f t="shared" si="28"/>
        <v>4540</v>
      </c>
      <c r="T15" s="48">
        <f t="shared" si="28"/>
        <v>4575</v>
      </c>
      <c r="U15" s="48">
        <f t="shared" si="28"/>
        <v>4610</v>
      </c>
      <c r="V15" s="48">
        <f t="shared" ref="V15:W15" si="32">+V5+V10</f>
        <v>4660</v>
      </c>
      <c r="W15" s="48">
        <f t="shared" si="32"/>
        <v>4710</v>
      </c>
      <c r="X15" s="48">
        <f t="shared" ref="X15:Y15" si="33">+X5+X10</f>
        <v>4760</v>
      </c>
      <c r="Y15" s="48">
        <f t="shared" si="33"/>
        <v>4810</v>
      </c>
      <c r="Z15" s="48">
        <f t="shared" ref="Z15:AN15" si="34">Y15+Z16</f>
        <v>4855</v>
      </c>
      <c r="AA15" s="48">
        <f t="shared" si="34"/>
        <v>4900</v>
      </c>
      <c r="AB15" s="48">
        <f t="shared" si="34"/>
        <v>4945</v>
      </c>
      <c r="AC15" s="48">
        <f t="shared" si="34"/>
        <v>4990</v>
      </c>
      <c r="AD15" s="48">
        <f t="shared" si="34"/>
        <v>5035</v>
      </c>
      <c r="AE15" s="48">
        <f t="shared" si="34"/>
        <v>5075</v>
      </c>
      <c r="AF15" s="48">
        <f t="shared" si="34"/>
        <v>5115</v>
      </c>
      <c r="AG15" s="48">
        <f t="shared" si="34"/>
        <v>5155</v>
      </c>
      <c r="AH15" s="48">
        <f t="shared" si="34"/>
        <v>5195</v>
      </c>
      <c r="AI15" s="48">
        <f t="shared" si="34"/>
        <v>5235</v>
      </c>
      <c r="AJ15" s="48">
        <f t="shared" si="34"/>
        <v>5270</v>
      </c>
      <c r="AK15" s="48">
        <f t="shared" si="34"/>
        <v>5305</v>
      </c>
      <c r="AL15" s="48">
        <f t="shared" si="34"/>
        <v>5340</v>
      </c>
      <c r="AM15" s="48">
        <f t="shared" si="34"/>
        <v>5375</v>
      </c>
      <c r="AN15" s="48">
        <f t="shared" si="34"/>
        <v>5410</v>
      </c>
    </row>
    <row r="16" spans="1:40" s="71" customFormat="1" ht="15" customHeight="1">
      <c r="A16" s="71" t="s">
        <v>7</v>
      </c>
      <c r="B16" s="90"/>
      <c r="C16" s="90">
        <f t="shared" ref="C16:T16" si="35">C15-B15</f>
        <v>74</v>
      </c>
      <c r="D16" s="90">
        <f>D15-C15</f>
        <v>46</v>
      </c>
      <c r="E16" s="90">
        <f t="shared" si="35"/>
        <v>23</v>
      </c>
      <c r="F16" s="90">
        <f t="shared" ref="F16:L16" si="36">F15-E15</f>
        <v>48</v>
      </c>
      <c r="G16" s="90">
        <f t="shared" si="36"/>
        <v>44</v>
      </c>
      <c r="H16" s="90">
        <f t="shared" si="36"/>
        <v>48</v>
      </c>
      <c r="I16" s="90">
        <f t="shared" si="36"/>
        <v>56</v>
      </c>
      <c r="J16" s="90">
        <f t="shared" si="36"/>
        <v>72</v>
      </c>
      <c r="K16" s="90">
        <f t="shared" si="36"/>
        <v>114</v>
      </c>
      <c r="L16" s="90">
        <f t="shared" si="36"/>
        <v>141</v>
      </c>
      <c r="M16" s="90">
        <f t="shared" ref="M16:Q16" si="37">M15-L15</f>
        <v>86</v>
      </c>
      <c r="N16" s="90">
        <f t="shared" si="37"/>
        <v>135</v>
      </c>
      <c r="O16" s="90">
        <f t="shared" si="37"/>
        <v>127</v>
      </c>
      <c r="P16" s="90">
        <f t="shared" si="37"/>
        <v>73</v>
      </c>
      <c r="Q16" s="90">
        <f t="shared" si="37"/>
        <v>46</v>
      </c>
      <c r="R16" s="90">
        <f t="shared" si="35"/>
        <v>52</v>
      </c>
      <c r="S16" s="149">
        <f t="shared" si="35"/>
        <v>9</v>
      </c>
      <c r="T16" s="48">
        <f t="shared" si="35"/>
        <v>35</v>
      </c>
      <c r="U16" s="48">
        <f>U15-T15</f>
        <v>35</v>
      </c>
      <c r="V16" s="48">
        <f>V15-U15</f>
        <v>50</v>
      </c>
      <c r="W16" s="48">
        <f>W15-V15</f>
        <v>50</v>
      </c>
      <c r="X16" s="48">
        <f>X15-W15</f>
        <v>50</v>
      </c>
      <c r="Y16" s="48">
        <f>Y15-X15</f>
        <v>50</v>
      </c>
      <c r="Z16" s="49">
        <v>45</v>
      </c>
      <c r="AA16" s="49">
        <v>45</v>
      </c>
      <c r="AB16" s="49">
        <v>45</v>
      </c>
      <c r="AC16" s="49">
        <v>45</v>
      </c>
      <c r="AD16" s="49">
        <v>45</v>
      </c>
      <c r="AE16" s="49">
        <v>40</v>
      </c>
      <c r="AF16" s="49">
        <f t="shared" ref="AF16:AN16" si="38">AE16</f>
        <v>40</v>
      </c>
      <c r="AG16" s="49">
        <f t="shared" si="38"/>
        <v>40</v>
      </c>
      <c r="AH16" s="49">
        <v>40</v>
      </c>
      <c r="AI16" s="49">
        <f t="shared" si="38"/>
        <v>40</v>
      </c>
      <c r="AJ16" s="49">
        <v>35</v>
      </c>
      <c r="AK16" s="49">
        <f t="shared" si="38"/>
        <v>35</v>
      </c>
      <c r="AL16" s="49">
        <f t="shared" si="38"/>
        <v>35</v>
      </c>
      <c r="AM16" s="49">
        <f t="shared" si="38"/>
        <v>35</v>
      </c>
      <c r="AN16" s="49">
        <f t="shared" si="38"/>
        <v>35</v>
      </c>
    </row>
    <row r="17" spans="1:40" s="71" customFormat="1" ht="15" customHeight="1">
      <c r="A17" s="71" t="s">
        <v>6</v>
      </c>
      <c r="B17" s="90"/>
      <c r="C17" s="90">
        <f t="shared" ref="C17:T17" si="39">C14*1000/((B15+C15)/2)</f>
        <v>26751.108483594442</v>
      </c>
      <c r="D17" s="90">
        <f>D14*1000/((C15+D15)/2)</f>
        <v>29002.904443799012</v>
      </c>
      <c r="E17" s="90">
        <f t="shared" si="39"/>
        <v>27564.917325664988</v>
      </c>
      <c r="F17" s="90">
        <f t="shared" ref="F17:L17" si="40">F14*1000/((E15+F15)/2)</f>
        <v>28176.48733276402</v>
      </c>
      <c r="G17" s="90">
        <f t="shared" si="40"/>
        <v>27479.067153694858</v>
      </c>
      <c r="H17" s="90">
        <f t="shared" si="40"/>
        <v>26443.273231622745</v>
      </c>
      <c r="I17" s="90">
        <f t="shared" si="40"/>
        <v>28919.031993437249</v>
      </c>
      <c r="J17" s="90">
        <f t="shared" si="40"/>
        <v>29118.785272776135</v>
      </c>
      <c r="K17" s="90">
        <f t="shared" si="40"/>
        <v>28985.84163607761</v>
      </c>
      <c r="L17" s="90">
        <f t="shared" si="40"/>
        <v>25515.03234809083</v>
      </c>
      <c r="M17" s="90">
        <f t="shared" ref="M17:Q17" si="41">M14*1000/((L15+M15)/2)</f>
        <v>28212.440690505548</v>
      </c>
      <c r="N17" s="90">
        <f t="shared" si="41"/>
        <v>28104.669307406075</v>
      </c>
      <c r="O17" s="90">
        <f t="shared" si="41"/>
        <v>28789.558477830793</v>
      </c>
      <c r="P17" s="90">
        <f t="shared" si="41"/>
        <v>30273.790515182533</v>
      </c>
      <c r="Q17" s="90">
        <f t="shared" si="41"/>
        <v>30981.977333931776</v>
      </c>
      <c r="R17" s="90">
        <f t="shared" si="39"/>
        <v>29576.80665926748</v>
      </c>
      <c r="S17" s="149">
        <f t="shared" si="39"/>
        <v>29896.870686804101</v>
      </c>
      <c r="T17" s="48">
        <f t="shared" si="39"/>
        <v>29995.693911135491</v>
      </c>
      <c r="U17" s="48">
        <f>U14*1000/((T15+U15)/2)</f>
        <v>30012.765378334239</v>
      </c>
      <c r="V17" s="48">
        <f>V14*1000/((U15+V15)/2)</f>
        <v>29882.11786268228</v>
      </c>
      <c r="W17" s="48">
        <f>W14*1000/((V15+W15)/2)</f>
        <v>29750.215013645102</v>
      </c>
      <c r="X17" s="48">
        <f>X14*1000/((W15+X15)/2)</f>
        <v>29616.394111985788</v>
      </c>
      <c r="Y17" s="48">
        <f>Y14*1000/((X15+Y15)/2)</f>
        <v>29482.836247709853</v>
      </c>
      <c r="Z17" s="104">
        <f t="shared" ref="Z17:AN17" si="42">Y17/1.005</f>
        <v>29336.155470358066</v>
      </c>
      <c r="AA17" s="104">
        <f t="shared" si="42"/>
        <v>29190.204448117482</v>
      </c>
      <c r="AB17" s="104">
        <f t="shared" si="42"/>
        <v>29044.979550365657</v>
      </c>
      <c r="AC17" s="104">
        <f t="shared" si="42"/>
        <v>28900.477164542946</v>
      </c>
      <c r="AD17" s="104">
        <f t="shared" si="42"/>
        <v>28756.693696062637</v>
      </c>
      <c r="AE17" s="104">
        <f t="shared" si="42"/>
        <v>28613.625568221534</v>
      </c>
      <c r="AF17" s="104">
        <f t="shared" si="42"/>
        <v>28471.269222110983</v>
      </c>
      <c r="AG17" s="104">
        <f t="shared" si="42"/>
        <v>28329.621116528346</v>
      </c>
      <c r="AH17" s="104">
        <f t="shared" si="42"/>
        <v>28188.677727888906</v>
      </c>
      <c r="AI17" s="104">
        <f t="shared" si="42"/>
        <v>28048.435550138216</v>
      </c>
      <c r="AJ17" s="104">
        <f t="shared" si="42"/>
        <v>27908.891094664894</v>
      </c>
      <c r="AK17" s="104">
        <f t="shared" si="42"/>
        <v>27770.040890213826</v>
      </c>
      <c r="AL17" s="104">
        <f t="shared" si="42"/>
        <v>27631.881482799829</v>
      </c>
      <c r="AM17" s="104">
        <f t="shared" si="42"/>
        <v>27494.409435621721</v>
      </c>
      <c r="AN17" s="104">
        <f t="shared" si="42"/>
        <v>27357.621328976838</v>
      </c>
    </row>
    <row r="18" spans="1:40" s="71" customFormat="1" ht="15" customHeight="1">
      <c r="B18" s="43"/>
      <c r="C18" s="43"/>
      <c r="E18" s="43"/>
      <c r="F18" s="200"/>
      <c r="G18" s="43"/>
      <c r="H18" s="43"/>
      <c r="I18" s="43"/>
      <c r="J18" s="43"/>
      <c r="K18" s="43"/>
      <c r="L18" s="43"/>
      <c r="M18" s="43"/>
      <c r="N18" s="75"/>
      <c r="O18" s="82"/>
      <c r="P18" s="49"/>
      <c r="Q18" s="63"/>
      <c r="R18" s="63"/>
      <c r="S18" s="132"/>
      <c r="T18" s="49"/>
      <c r="U18" s="49"/>
      <c r="V18" s="49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</row>
    <row r="19" spans="1:40" s="71" customFormat="1" ht="15" customHeight="1">
      <c r="A19" s="199" t="s">
        <v>11</v>
      </c>
      <c r="B19" s="43"/>
      <c r="C19" s="43"/>
      <c r="D19" s="63">
        <v>2709</v>
      </c>
      <c r="E19" s="63">
        <v>2835</v>
      </c>
      <c r="F19" s="63">
        <v>2810</v>
      </c>
      <c r="G19" s="63">
        <v>2789</v>
      </c>
      <c r="H19" s="63">
        <v>2484</v>
      </c>
      <c r="I19" s="63">
        <v>3003.64</v>
      </c>
      <c r="J19" s="63">
        <v>2913</v>
      </c>
      <c r="K19" s="63">
        <v>3174</v>
      </c>
      <c r="L19" s="63">
        <v>2820.6</v>
      </c>
      <c r="M19" s="63">
        <v>2958</v>
      </c>
      <c r="N19" s="63">
        <v>3313</v>
      </c>
      <c r="O19" s="63">
        <v>3469.3330000000001</v>
      </c>
      <c r="P19" s="63">
        <v>3877.3090000000002</v>
      </c>
      <c r="Q19" s="63">
        <v>3627.4389999999999</v>
      </c>
      <c r="R19" s="63">
        <v>3268.3820000000001</v>
      </c>
      <c r="S19" s="132">
        <v>3529.0830000000001</v>
      </c>
      <c r="T19" s="48">
        <f>$R19/($R$19+$R$22)*'Small GS'!T$4</f>
        <v>3367.534037657992</v>
      </c>
      <c r="U19" s="48">
        <f>$R19/($R$19+$R$22)*'Small GS'!U$4</f>
        <v>3378.0084825651711</v>
      </c>
      <c r="V19" s="48">
        <f>$R19/($R$19+$R$22)*'Small GS'!V$4</f>
        <v>3393.720149925939</v>
      </c>
      <c r="W19" s="48">
        <f>$R19/($R$19+$R$22)*'Small GS'!W$4</f>
        <v>3409.4318172867079</v>
      </c>
      <c r="X19" s="48">
        <f>$R19/($R$19+$R$22)*'Small GS'!X$4</f>
        <v>3425.1434846474758</v>
      </c>
      <c r="Y19" s="48">
        <f>$R19/($R$19+$R$22)*'Small GS'!Y$4</f>
        <v>3440.8551520082442</v>
      </c>
      <c r="Z19" s="48">
        <f>Y19+(($T19-$E19)/15)</f>
        <v>3476.3574211854439</v>
      </c>
      <c r="AA19" s="48">
        <f t="shared" ref="AA19:AN19" si="43">Z19+(($T19-$E19)/15)</f>
        <v>3511.8596903626435</v>
      </c>
      <c r="AB19" s="48">
        <f t="shared" si="43"/>
        <v>3547.3619595398432</v>
      </c>
      <c r="AC19" s="48">
        <f t="shared" si="43"/>
        <v>3582.8642287170428</v>
      </c>
      <c r="AD19" s="48">
        <f t="shared" si="43"/>
        <v>3618.3664978942425</v>
      </c>
      <c r="AE19" s="48">
        <f t="shared" si="43"/>
        <v>3653.8687670714421</v>
      </c>
      <c r="AF19" s="48">
        <f t="shared" si="43"/>
        <v>3689.3710362486418</v>
      </c>
      <c r="AG19" s="48">
        <f t="shared" si="43"/>
        <v>3724.8733054258414</v>
      </c>
      <c r="AH19" s="48">
        <f t="shared" si="43"/>
        <v>3760.3755746030411</v>
      </c>
      <c r="AI19" s="48">
        <f t="shared" si="43"/>
        <v>3795.8778437802407</v>
      </c>
      <c r="AJ19" s="48">
        <f t="shared" si="43"/>
        <v>3831.3801129574404</v>
      </c>
      <c r="AK19" s="48">
        <f t="shared" si="43"/>
        <v>3866.88238213464</v>
      </c>
      <c r="AL19" s="48">
        <f t="shared" si="43"/>
        <v>3902.3846513118397</v>
      </c>
      <c r="AM19" s="48">
        <f t="shared" si="43"/>
        <v>3937.8869204890393</v>
      </c>
      <c r="AN19" s="48">
        <f t="shared" si="43"/>
        <v>3973.389189666239</v>
      </c>
    </row>
    <row r="20" spans="1:40" s="71" customFormat="1" ht="15" customHeight="1">
      <c r="A20" s="71" t="s">
        <v>0</v>
      </c>
      <c r="B20" s="43"/>
      <c r="C20" s="43"/>
      <c r="D20" s="63">
        <v>252</v>
      </c>
      <c r="E20" s="63">
        <v>254</v>
      </c>
      <c r="F20" s="63">
        <v>251</v>
      </c>
      <c r="G20" s="63">
        <v>248</v>
      </c>
      <c r="H20" s="63">
        <v>270</v>
      </c>
      <c r="I20" s="63">
        <v>269</v>
      </c>
      <c r="J20" s="63">
        <v>258</v>
      </c>
      <c r="K20" s="63">
        <v>261</v>
      </c>
      <c r="L20" s="63">
        <v>270</v>
      </c>
      <c r="M20" s="63">
        <v>250</v>
      </c>
      <c r="N20" s="63">
        <v>261</v>
      </c>
      <c r="O20" s="63">
        <v>263</v>
      </c>
      <c r="P20" s="63">
        <v>271</v>
      </c>
      <c r="Q20" s="63">
        <v>258</v>
      </c>
      <c r="R20" s="63">
        <v>267</v>
      </c>
      <c r="S20" s="132">
        <v>259</v>
      </c>
      <c r="T20" s="48">
        <f>MROUND($S20/($S$20+$S$23)*'Small GS'!T$5,1)</f>
        <v>260</v>
      </c>
      <c r="U20" s="48">
        <f>MROUND($S20/($S$20+$S$23)*'Small GS'!U$5,1)</f>
        <v>261</v>
      </c>
      <c r="V20" s="48">
        <f>MROUND($S20/($S$20+$S$23)*'Small GS'!V$5,1)</f>
        <v>262</v>
      </c>
      <c r="W20" s="48">
        <f>MROUND($S20/($S$20+$S$23)*'Small GS'!W$5,1)</f>
        <v>263</v>
      </c>
      <c r="X20" s="48">
        <f>MROUND($S20/($S$20+$S$23)*'Small GS'!X$5,1)</f>
        <v>264</v>
      </c>
      <c r="Y20" s="48">
        <f>MROUND($S20/($S$20+$S$23)*'Small GS'!Y$5,1)</f>
        <v>265</v>
      </c>
      <c r="Z20" s="48">
        <f t="shared" ref="Z20:AN20" si="44">ROUND(Z19*Y20/Y19,0)</f>
        <v>268</v>
      </c>
      <c r="AA20" s="48">
        <f t="shared" si="44"/>
        <v>271</v>
      </c>
      <c r="AB20" s="48">
        <f t="shared" si="44"/>
        <v>274</v>
      </c>
      <c r="AC20" s="48">
        <f t="shared" si="44"/>
        <v>277</v>
      </c>
      <c r="AD20" s="48">
        <f t="shared" si="44"/>
        <v>280</v>
      </c>
      <c r="AE20" s="48">
        <f t="shared" si="44"/>
        <v>283</v>
      </c>
      <c r="AF20" s="48">
        <f t="shared" si="44"/>
        <v>286</v>
      </c>
      <c r="AG20" s="48">
        <f t="shared" si="44"/>
        <v>289</v>
      </c>
      <c r="AH20" s="48">
        <f t="shared" si="44"/>
        <v>292</v>
      </c>
      <c r="AI20" s="48">
        <f t="shared" si="44"/>
        <v>295</v>
      </c>
      <c r="AJ20" s="48">
        <f t="shared" si="44"/>
        <v>298</v>
      </c>
      <c r="AK20" s="48">
        <f t="shared" si="44"/>
        <v>301</v>
      </c>
      <c r="AL20" s="48">
        <f t="shared" si="44"/>
        <v>304</v>
      </c>
      <c r="AM20" s="48">
        <f t="shared" si="44"/>
        <v>307</v>
      </c>
      <c r="AN20" s="48">
        <f t="shared" si="44"/>
        <v>310</v>
      </c>
    </row>
    <row r="21" spans="1:40" s="71" customFormat="1" ht="15" customHeight="1">
      <c r="B21" s="63"/>
      <c r="C21" s="63"/>
      <c r="E21" s="201"/>
      <c r="F21" s="200"/>
      <c r="G21" s="201"/>
      <c r="H21" s="81"/>
      <c r="I21" s="81"/>
      <c r="J21" s="81"/>
      <c r="K21" s="81"/>
      <c r="L21" s="81"/>
      <c r="M21" s="81"/>
      <c r="N21" s="63"/>
      <c r="O21" s="82"/>
      <c r="P21" s="82"/>
      <c r="Q21" s="63"/>
      <c r="R21" s="63"/>
      <c r="S21" s="132"/>
      <c r="T21" s="49"/>
      <c r="U21" s="49"/>
      <c r="V21" s="49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</row>
    <row r="22" spans="1:40" s="71" customFormat="1" ht="15" customHeight="1">
      <c r="A22" s="199" t="s">
        <v>12</v>
      </c>
      <c r="B22" s="43"/>
      <c r="C22" s="43"/>
      <c r="D22" s="63">
        <f>28552+790</f>
        <v>29342</v>
      </c>
      <c r="E22" s="63">
        <f>28718+693</f>
        <v>29411</v>
      </c>
      <c r="F22" s="63">
        <f>28247+563</f>
        <v>28810</v>
      </c>
      <c r="G22" s="63">
        <v>30041</v>
      </c>
      <c r="H22" s="63">
        <v>29075</v>
      </c>
      <c r="I22" s="63">
        <v>30716.5</v>
      </c>
      <c r="J22" s="63">
        <v>30695</v>
      </c>
      <c r="K22" s="63">
        <v>31499</v>
      </c>
      <c r="L22" s="63">
        <v>28764.400000000001</v>
      </c>
      <c r="M22" s="63">
        <v>31715</v>
      </c>
      <c r="N22" s="63">
        <v>34117</v>
      </c>
      <c r="O22" s="63">
        <v>33169.718999999997</v>
      </c>
      <c r="P22" s="63">
        <v>35230.779000000002</v>
      </c>
      <c r="Q22" s="63">
        <v>35382.097000000002</v>
      </c>
      <c r="R22" s="63">
        <v>34923.764999999999</v>
      </c>
      <c r="S22" s="132">
        <v>34807.966999999997</v>
      </c>
      <c r="T22" s="48">
        <f>$R22/($R$19+$R$22)*'Small GS'!T$4</f>
        <v>35983.237993805145</v>
      </c>
      <c r="U22" s="48">
        <f>$R22/($R$19+$R$22)*'Small GS'!U$4</f>
        <v>36095.160973568149</v>
      </c>
      <c r="V22" s="48">
        <f>$R22/($R$19+$R$22)*'Small GS'!V$4</f>
        <v>36263.04544321265</v>
      </c>
      <c r="W22" s="48">
        <f>$R22/($R$19+$R$22)*'Small GS'!W$4</f>
        <v>36430.929912857158</v>
      </c>
      <c r="X22" s="48">
        <f>$R22/($R$19+$R$22)*'Small GS'!X$4</f>
        <v>36598.81438250166</v>
      </c>
      <c r="Y22" s="48">
        <f>$R22/($R$19+$R$22)*'Small GS'!Y$4</f>
        <v>36766.698852146168</v>
      </c>
      <c r="Z22" s="48">
        <f>Y22+(($X22-$R22)/6*0.75)</f>
        <v>36976.080024958879</v>
      </c>
      <c r="AA22" s="48">
        <f t="shared" ref="AA22:AN22" si="45">Z22+(($X22-$R22)/6*0.75)</f>
        <v>37185.461197771583</v>
      </c>
      <c r="AB22" s="48">
        <f t="shared" si="45"/>
        <v>37394.842370584287</v>
      </c>
      <c r="AC22" s="48">
        <f t="shared" si="45"/>
        <v>37604.223543396991</v>
      </c>
      <c r="AD22" s="48">
        <f t="shared" si="45"/>
        <v>37813.604716209695</v>
      </c>
      <c r="AE22" s="48">
        <f t="shared" si="45"/>
        <v>38022.985889022399</v>
      </c>
      <c r="AF22" s="48">
        <f t="shared" si="45"/>
        <v>38232.367061835103</v>
      </c>
      <c r="AG22" s="48">
        <f t="shared" si="45"/>
        <v>38441.748234647806</v>
      </c>
      <c r="AH22" s="48">
        <f t="shared" si="45"/>
        <v>38651.12940746051</v>
      </c>
      <c r="AI22" s="48">
        <f t="shared" si="45"/>
        <v>38860.510580273214</v>
      </c>
      <c r="AJ22" s="48">
        <f t="shared" si="45"/>
        <v>39069.891753085918</v>
      </c>
      <c r="AK22" s="48">
        <f t="shared" si="45"/>
        <v>39279.272925898622</v>
      </c>
      <c r="AL22" s="48">
        <f t="shared" si="45"/>
        <v>39488.654098711326</v>
      </c>
      <c r="AM22" s="48">
        <f t="shared" si="45"/>
        <v>39698.03527152403</v>
      </c>
      <c r="AN22" s="48">
        <f t="shared" si="45"/>
        <v>39907.416444336734</v>
      </c>
    </row>
    <row r="23" spans="1:40" s="71" customFormat="1" ht="15" customHeight="1">
      <c r="A23" s="71" t="s">
        <v>0</v>
      </c>
      <c r="B23" s="43"/>
      <c r="C23" s="43"/>
      <c r="D23" s="63">
        <f>313+6</f>
        <v>319</v>
      </c>
      <c r="E23" s="63">
        <f>324+6</f>
        <v>330</v>
      </c>
      <c r="F23" s="63">
        <v>337</v>
      </c>
      <c r="G23" s="63">
        <v>337</v>
      </c>
      <c r="H23" s="63">
        <v>321</v>
      </c>
      <c r="I23" s="63">
        <v>312</v>
      </c>
      <c r="J23" s="63">
        <v>328</v>
      </c>
      <c r="K23" s="63">
        <v>339</v>
      </c>
      <c r="L23" s="63">
        <v>330</v>
      </c>
      <c r="M23" s="63">
        <v>337</v>
      </c>
      <c r="N23" s="63">
        <v>351</v>
      </c>
      <c r="O23" s="63">
        <v>354</v>
      </c>
      <c r="P23" s="63">
        <v>347</v>
      </c>
      <c r="Q23" s="63">
        <v>359</v>
      </c>
      <c r="R23" s="63">
        <v>366</v>
      </c>
      <c r="S23" s="132">
        <v>382</v>
      </c>
      <c r="T23" s="48">
        <f>MROUND($S23/($S$20+$S$23)*'Small GS'!T$5,1)</f>
        <v>383</v>
      </c>
      <c r="U23" s="48">
        <f>MROUND($S23/($S$20+$S$23)*'Small GS'!U$5,1)</f>
        <v>384</v>
      </c>
      <c r="V23" s="48">
        <f>MROUND($S23/($S$20+$S$23)*'Small GS'!V$5,1)</f>
        <v>386</v>
      </c>
      <c r="W23" s="48">
        <f>MROUND($S23/($S$20+$S$23)*'Small GS'!W$5,1)</f>
        <v>388</v>
      </c>
      <c r="X23" s="48">
        <f>MROUND($S23/($S$20+$S$23)*'Small GS'!X$5,1)</f>
        <v>390</v>
      </c>
      <c r="Y23" s="48">
        <f>MROUND($S23/($S$20+$S$23)*'Small GS'!Y$5,1)</f>
        <v>392</v>
      </c>
      <c r="Z23" s="48">
        <f t="shared" ref="Z23:AN23" si="46">ROUND(Z22*Y23/Y22,0)</f>
        <v>394</v>
      </c>
      <c r="AA23" s="48">
        <f t="shared" si="46"/>
        <v>396</v>
      </c>
      <c r="AB23" s="48">
        <f t="shared" si="46"/>
        <v>398</v>
      </c>
      <c r="AC23" s="48">
        <f t="shared" si="46"/>
        <v>400</v>
      </c>
      <c r="AD23" s="48">
        <f t="shared" si="46"/>
        <v>402</v>
      </c>
      <c r="AE23" s="48">
        <f t="shared" si="46"/>
        <v>404</v>
      </c>
      <c r="AF23" s="48">
        <f t="shared" si="46"/>
        <v>406</v>
      </c>
      <c r="AG23" s="48">
        <f t="shared" si="46"/>
        <v>408</v>
      </c>
      <c r="AH23" s="48">
        <f t="shared" si="46"/>
        <v>410</v>
      </c>
      <c r="AI23" s="48">
        <f t="shared" si="46"/>
        <v>412</v>
      </c>
      <c r="AJ23" s="48">
        <f t="shared" si="46"/>
        <v>414</v>
      </c>
      <c r="AK23" s="48">
        <f t="shared" si="46"/>
        <v>416</v>
      </c>
      <c r="AL23" s="48">
        <f t="shared" si="46"/>
        <v>418</v>
      </c>
      <c r="AM23" s="48">
        <f t="shared" si="46"/>
        <v>420</v>
      </c>
      <c r="AN23" s="48">
        <f t="shared" si="46"/>
        <v>422</v>
      </c>
    </row>
    <row r="24" spans="1:40" s="71" customFormat="1" ht="15" customHeight="1">
      <c r="B24" s="90"/>
      <c r="C24" s="90"/>
      <c r="E24" s="81"/>
      <c r="F24" s="200"/>
      <c r="G24" s="81"/>
      <c r="H24" s="81"/>
      <c r="I24" s="81"/>
      <c r="J24" s="81"/>
      <c r="K24" s="81"/>
      <c r="L24" s="81"/>
      <c r="M24" s="81"/>
      <c r="N24" s="63"/>
      <c r="O24" s="83"/>
      <c r="P24" s="83"/>
      <c r="Q24" s="202"/>
      <c r="R24" s="117"/>
      <c r="S24" s="157"/>
      <c r="T24" s="198"/>
      <c r="U24" s="49"/>
      <c r="V24" s="4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pans="1:40" s="71" customFormat="1" ht="15" customHeight="1">
      <c r="A25" s="199" t="s">
        <v>13</v>
      </c>
      <c r="B25" s="43"/>
      <c r="C25" s="43"/>
      <c r="D25" s="63">
        <f>24699+4016</f>
        <v>28715</v>
      </c>
      <c r="E25" s="63">
        <f>25308+4219</f>
        <v>29527</v>
      </c>
      <c r="F25" s="63">
        <f>28822+3793</f>
        <v>32615</v>
      </c>
      <c r="G25" s="63">
        <v>30671</v>
      </c>
      <c r="H25" s="63">
        <v>28028</v>
      </c>
      <c r="I25" s="63">
        <v>30124.799999999999</v>
      </c>
      <c r="J25" s="63">
        <v>30265</v>
      </c>
      <c r="K25" s="63">
        <v>32642</v>
      </c>
      <c r="L25" s="63">
        <v>30451.26</v>
      </c>
      <c r="M25" s="63">
        <v>35479</v>
      </c>
      <c r="N25" s="63">
        <v>34541</v>
      </c>
      <c r="O25" s="63">
        <v>36200.087</v>
      </c>
      <c r="P25" s="63">
        <v>45723.457999999999</v>
      </c>
      <c r="Q25" s="63">
        <v>47854.61</v>
      </c>
      <c r="R25" s="63">
        <v>44562.28</v>
      </c>
      <c r="S25" s="132">
        <v>47560.47</v>
      </c>
      <c r="T25" s="64">
        <f t="shared" ref="T25:Y25" si="47">(T26-T70)*AVERAGE($P27:$R27)+T69</f>
        <v>57237.093398733625</v>
      </c>
      <c r="U25" s="64">
        <f t="shared" si="47"/>
        <v>61979.627163229328</v>
      </c>
      <c r="V25" s="64">
        <f t="shared" si="47"/>
        <v>61979.627163229328</v>
      </c>
      <c r="W25" s="64">
        <f t="shared" si="47"/>
        <v>61979.627163229328</v>
      </c>
      <c r="X25" s="64">
        <f t="shared" si="47"/>
        <v>61979.627163229328</v>
      </c>
      <c r="Y25" s="64">
        <f t="shared" si="47"/>
        <v>61979.627163229328</v>
      </c>
      <c r="Z25" s="48">
        <f>Y25+(($Y25-$T25)/5)</f>
        <v>62928.13391612847</v>
      </c>
      <c r="AA25" s="48">
        <f t="shared" ref="AA25:AN25" si="48">Z25+(($Y25-$T25)/5)</f>
        <v>63876.640669027613</v>
      </c>
      <c r="AB25" s="48">
        <f t="shared" si="48"/>
        <v>64825.147421926755</v>
      </c>
      <c r="AC25" s="48">
        <f t="shared" si="48"/>
        <v>65773.65417482589</v>
      </c>
      <c r="AD25" s="48">
        <f t="shared" si="48"/>
        <v>66722.160927725025</v>
      </c>
      <c r="AE25" s="48">
        <f t="shared" si="48"/>
        <v>67670.667680624159</v>
      </c>
      <c r="AF25" s="48">
        <f t="shared" si="48"/>
        <v>68619.174433523294</v>
      </c>
      <c r="AG25" s="48">
        <f t="shared" si="48"/>
        <v>69567.681186422429</v>
      </c>
      <c r="AH25" s="48">
        <f t="shared" si="48"/>
        <v>70516.187939321564</v>
      </c>
      <c r="AI25" s="48">
        <f t="shared" si="48"/>
        <v>71464.694692220699</v>
      </c>
      <c r="AJ25" s="48">
        <f t="shared" si="48"/>
        <v>72413.201445119834</v>
      </c>
      <c r="AK25" s="48">
        <f t="shared" si="48"/>
        <v>73361.708198018969</v>
      </c>
      <c r="AL25" s="48">
        <f t="shared" si="48"/>
        <v>74310.214950918104</v>
      </c>
      <c r="AM25" s="48">
        <f t="shared" si="48"/>
        <v>75258.721703817238</v>
      </c>
      <c r="AN25" s="48">
        <f t="shared" si="48"/>
        <v>76207.228456716373</v>
      </c>
    </row>
    <row r="26" spans="1:40" s="71" customFormat="1" ht="15" customHeight="1">
      <c r="A26" s="71" t="s">
        <v>0</v>
      </c>
      <c r="B26" s="43"/>
      <c r="C26" s="43"/>
      <c r="D26" s="63">
        <f>44+3</f>
        <v>47</v>
      </c>
      <c r="E26" s="63">
        <f>40+3</f>
        <v>43</v>
      </c>
      <c r="F26" s="63">
        <v>48</v>
      </c>
      <c r="G26" s="63">
        <v>43</v>
      </c>
      <c r="H26" s="63">
        <v>43</v>
      </c>
      <c r="I26" s="63">
        <v>46</v>
      </c>
      <c r="J26" s="63">
        <v>45</v>
      </c>
      <c r="K26" s="63">
        <v>48</v>
      </c>
      <c r="L26" s="63">
        <v>46</v>
      </c>
      <c r="M26" s="63">
        <v>49</v>
      </c>
      <c r="N26" s="63">
        <v>51</v>
      </c>
      <c r="O26" s="63">
        <v>62</v>
      </c>
      <c r="P26" s="63">
        <v>62</v>
      </c>
      <c r="Q26" s="63">
        <v>63</v>
      </c>
      <c r="R26" s="63">
        <v>61</v>
      </c>
      <c r="S26" s="132">
        <v>60</v>
      </c>
      <c r="T26" s="48">
        <f>AVERAGE($P26:$R26)+T70</f>
        <v>64</v>
      </c>
      <c r="U26" s="48">
        <f>AVERAGE($P26:$R26)+1+U70</f>
        <v>65</v>
      </c>
      <c r="V26" s="48">
        <f>AVERAGE($P26:$R26)+1+V70</f>
        <v>65</v>
      </c>
      <c r="W26" s="48">
        <f>AVERAGE($P26:$R26)+1+W70</f>
        <v>65</v>
      </c>
      <c r="X26" s="48">
        <f>AVERAGE($P26:$R26)+1+X70</f>
        <v>65</v>
      </c>
      <c r="Y26" s="48">
        <f>AVERAGE($P26:$R26)+1+Y70</f>
        <v>65</v>
      </c>
      <c r="Z26" s="64">
        <f t="shared" ref="Z26:AL26" si="49">ROUND(Z25*$X26/$X25,0)</f>
        <v>66</v>
      </c>
      <c r="AA26" s="64">
        <f t="shared" si="49"/>
        <v>67</v>
      </c>
      <c r="AB26" s="64">
        <f t="shared" si="49"/>
        <v>68</v>
      </c>
      <c r="AC26" s="64">
        <f t="shared" si="49"/>
        <v>69</v>
      </c>
      <c r="AD26" s="64">
        <f t="shared" si="49"/>
        <v>70</v>
      </c>
      <c r="AE26" s="64">
        <f t="shared" si="49"/>
        <v>71</v>
      </c>
      <c r="AF26" s="64">
        <f t="shared" si="49"/>
        <v>72</v>
      </c>
      <c r="AG26" s="64">
        <f t="shared" si="49"/>
        <v>73</v>
      </c>
      <c r="AH26" s="64">
        <f t="shared" si="49"/>
        <v>74</v>
      </c>
      <c r="AI26" s="64">
        <f t="shared" si="49"/>
        <v>75</v>
      </c>
      <c r="AJ26" s="64">
        <f t="shared" si="49"/>
        <v>76</v>
      </c>
      <c r="AK26" s="64">
        <f t="shared" si="49"/>
        <v>77</v>
      </c>
      <c r="AL26" s="64">
        <f t="shared" si="49"/>
        <v>78</v>
      </c>
      <c r="AM26" s="64">
        <f t="shared" ref="AM26:AN26" si="50">ROUND(AM25*$X26/$X25,0)</f>
        <v>79</v>
      </c>
      <c r="AN26" s="64">
        <f t="shared" si="50"/>
        <v>80</v>
      </c>
    </row>
    <row r="27" spans="1:40" s="71" customFormat="1" ht="15" customHeight="1">
      <c r="B27" s="90"/>
      <c r="C27" s="90"/>
      <c r="D27" s="203"/>
      <c r="E27" s="203"/>
      <c r="F27" s="203"/>
      <c r="G27" s="203"/>
      <c r="H27" s="203"/>
      <c r="I27" s="203"/>
      <c r="J27" s="203"/>
      <c r="K27" s="203"/>
      <c r="L27" s="203"/>
      <c r="M27" s="63"/>
      <c r="N27" s="63"/>
      <c r="O27" s="63"/>
      <c r="P27" s="204">
        <f t="shared" ref="P27:R27" si="51">P25/P26</f>
        <v>737.475129032258</v>
      </c>
      <c r="Q27" s="204">
        <f t="shared" si="51"/>
        <v>759.59698412698413</v>
      </c>
      <c r="R27" s="204">
        <f t="shared" si="51"/>
        <v>730.52918032786886</v>
      </c>
      <c r="S27" s="132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</row>
    <row r="28" spans="1:40" s="71" customFormat="1" ht="15" customHeight="1">
      <c r="A28" s="199" t="s">
        <v>14</v>
      </c>
      <c r="B28" s="43"/>
      <c r="C28" s="43"/>
      <c r="D28" s="63">
        <v>46058</v>
      </c>
      <c r="E28" s="63">
        <v>45896.5</v>
      </c>
      <c r="F28" s="63">
        <v>46908</v>
      </c>
      <c r="G28" s="63">
        <v>44654</v>
      </c>
      <c r="H28" s="63">
        <v>42563</v>
      </c>
      <c r="I28" s="63">
        <v>45019.199999999997</v>
      </c>
      <c r="J28" s="63">
        <v>45073</v>
      </c>
      <c r="K28" s="63">
        <v>43054</v>
      </c>
      <c r="L28" s="63">
        <v>40945.199999999997</v>
      </c>
      <c r="M28" s="63">
        <v>45360</v>
      </c>
      <c r="N28" s="63">
        <v>49169</v>
      </c>
      <c r="O28" s="63">
        <v>48272.1</v>
      </c>
      <c r="P28" s="63">
        <v>51516</v>
      </c>
      <c r="Q28" s="63">
        <v>52425.36</v>
      </c>
      <c r="R28" s="63">
        <v>51453.84</v>
      </c>
      <c r="S28" s="132">
        <v>49669.68</v>
      </c>
      <c r="T28" s="64">
        <f t="shared" ref="T28:Y28" si="52">5750+44100+2300+T73</f>
        <v>62873.2255</v>
      </c>
      <c r="U28" s="64">
        <f t="shared" si="52"/>
        <v>87894.084999999992</v>
      </c>
      <c r="V28" s="64">
        <f t="shared" si="52"/>
        <v>87894.084999999992</v>
      </c>
      <c r="W28" s="64">
        <f t="shared" si="52"/>
        <v>87894.084999999992</v>
      </c>
      <c r="X28" s="64">
        <f t="shared" si="52"/>
        <v>87894.084999999992</v>
      </c>
      <c r="Y28" s="64">
        <f t="shared" si="52"/>
        <v>87894.084999999992</v>
      </c>
      <c r="Z28" s="48">
        <f t="shared" ref="Z28:AN28" si="53">Y28</f>
        <v>87894.084999999992</v>
      </c>
      <c r="AA28" s="48">
        <f t="shared" si="53"/>
        <v>87894.084999999992</v>
      </c>
      <c r="AB28" s="48">
        <f t="shared" si="53"/>
        <v>87894.084999999992</v>
      </c>
      <c r="AC28" s="48">
        <f t="shared" si="53"/>
        <v>87894.084999999992</v>
      </c>
      <c r="AD28" s="48">
        <f t="shared" si="53"/>
        <v>87894.084999999992</v>
      </c>
      <c r="AE28" s="48">
        <f t="shared" si="53"/>
        <v>87894.084999999992</v>
      </c>
      <c r="AF28" s="48">
        <f t="shared" si="53"/>
        <v>87894.084999999992</v>
      </c>
      <c r="AG28" s="48">
        <f t="shared" si="53"/>
        <v>87894.084999999992</v>
      </c>
      <c r="AH28" s="48">
        <f t="shared" si="53"/>
        <v>87894.084999999992</v>
      </c>
      <c r="AI28" s="48">
        <f t="shared" si="53"/>
        <v>87894.084999999992</v>
      </c>
      <c r="AJ28" s="48">
        <f t="shared" si="53"/>
        <v>87894.084999999992</v>
      </c>
      <c r="AK28" s="48">
        <f t="shared" si="53"/>
        <v>87894.084999999992</v>
      </c>
      <c r="AL28" s="48">
        <f t="shared" si="53"/>
        <v>87894.084999999992</v>
      </c>
      <c r="AM28" s="48">
        <f t="shared" si="53"/>
        <v>87894.084999999992</v>
      </c>
      <c r="AN28" s="48">
        <f t="shared" si="53"/>
        <v>87894.084999999992</v>
      </c>
    </row>
    <row r="29" spans="1:40" s="71" customFormat="1" ht="15" customHeight="1">
      <c r="A29" s="71" t="s">
        <v>0</v>
      </c>
      <c r="B29" s="43"/>
      <c r="C29" s="43"/>
      <c r="D29" s="63">
        <v>2</v>
      </c>
      <c r="E29" s="63">
        <v>2</v>
      </c>
      <c r="F29" s="63">
        <v>2</v>
      </c>
      <c r="G29" s="63">
        <v>2</v>
      </c>
      <c r="H29" s="63">
        <v>2</v>
      </c>
      <c r="I29" s="63">
        <v>2</v>
      </c>
      <c r="J29" s="63">
        <v>2</v>
      </c>
      <c r="K29" s="63">
        <v>2</v>
      </c>
      <c r="L29" s="63">
        <v>2</v>
      </c>
      <c r="M29" s="63">
        <v>2</v>
      </c>
      <c r="N29" s="63">
        <v>2</v>
      </c>
      <c r="O29" s="63">
        <v>2</v>
      </c>
      <c r="P29" s="63">
        <v>2</v>
      </c>
      <c r="Q29" s="63">
        <v>3</v>
      </c>
      <c r="R29" s="63">
        <v>3</v>
      </c>
      <c r="S29" s="132">
        <v>3</v>
      </c>
      <c r="T29" s="64">
        <f t="shared" ref="T29:Y29" si="54">3+T74</f>
        <v>4</v>
      </c>
      <c r="U29" s="64">
        <f t="shared" si="54"/>
        <v>4</v>
      </c>
      <c r="V29" s="64">
        <f t="shared" si="54"/>
        <v>4</v>
      </c>
      <c r="W29" s="64">
        <f t="shared" si="54"/>
        <v>4</v>
      </c>
      <c r="X29" s="64">
        <f t="shared" si="54"/>
        <v>4</v>
      </c>
      <c r="Y29" s="64">
        <f t="shared" si="54"/>
        <v>4</v>
      </c>
      <c r="Z29" s="48">
        <f t="shared" ref="Z29:AN29" si="55">Y29</f>
        <v>4</v>
      </c>
      <c r="AA29" s="48">
        <f t="shared" si="55"/>
        <v>4</v>
      </c>
      <c r="AB29" s="48">
        <f t="shared" si="55"/>
        <v>4</v>
      </c>
      <c r="AC29" s="48">
        <f t="shared" si="55"/>
        <v>4</v>
      </c>
      <c r="AD29" s="48">
        <f t="shared" si="55"/>
        <v>4</v>
      </c>
      <c r="AE29" s="48">
        <f t="shared" si="55"/>
        <v>4</v>
      </c>
      <c r="AF29" s="48">
        <f t="shared" si="55"/>
        <v>4</v>
      </c>
      <c r="AG29" s="48">
        <f t="shared" si="55"/>
        <v>4</v>
      </c>
      <c r="AH29" s="48">
        <f t="shared" si="55"/>
        <v>4</v>
      </c>
      <c r="AI29" s="48">
        <f t="shared" si="55"/>
        <v>4</v>
      </c>
      <c r="AJ29" s="48">
        <f t="shared" si="55"/>
        <v>4</v>
      </c>
      <c r="AK29" s="48">
        <f t="shared" si="55"/>
        <v>4</v>
      </c>
      <c r="AL29" s="48">
        <f t="shared" si="55"/>
        <v>4</v>
      </c>
      <c r="AM29" s="48">
        <f t="shared" si="55"/>
        <v>4</v>
      </c>
      <c r="AN29" s="48">
        <f t="shared" si="55"/>
        <v>4</v>
      </c>
    </row>
    <row r="30" spans="1:40" s="71" customFormat="1" ht="15" customHeight="1">
      <c r="B30" s="90"/>
      <c r="C30" s="90"/>
      <c r="D30" s="205"/>
      <c r="E30" s="205"/>
      <c r="F30" s="205"/>
      <c r="G30" s="205"/>
      <c r="H30" s="205"/>
      <c r="I30" s="205"/>
      <c r="J30" s="205"/>
      <c r="K30" s="205"/>
      <c r="L30" s="65"/>
      <c r="M30" s="97"/>
      <c r="N30" s="97"/>
      <c r="O30" s="206"/>
      <c r="P30" s="97"/>
      <c r="S30" s="155"/>
      <c r="T30" s="97"/>
      <c r="U30" s="65"/>
      <c r="V30" s="65"/>
      <c r="W30" s="65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</row>
    <row r="31" spans="1:40" s="71" customFormat="1" ht="15" customHeight="1">
      <c r="A31" s="199" t="s">
        <v>37</v>
      </c>
      <c r="B31" s="63">
        <v>4391</v>
      </c>
      <c r="C31" s="63">
        <v>4337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07"/>
      <c r="P31" s="97"/>
      <c r="R31" s="56"/>
      <c r="S31" s="158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s="71" customFormat="1" ht="15" customHeight="1">
      <c r="A32" s="71" t="s">
        <v>0</v>
      </c>
      <c r="B32" s="63">
        <v>9</v>
      </c>
      <c r="C32" s="63">
        <v>9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63"/>
      <c r="O32" s="56"/>
      <c r="P32" s="56"/>
      <c r="Q32" s="118"/>
      <c r="R32" s="118"/>
      <c r="S32" s="159"/>
      <c r="T32" s="118"/>
      <c r="U32" s="118"/>
      <c r="V32" s="118"/>
      <c r="W32" s="61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</row>
    <row r="33" spans="1:40" s="71" customFormat="1" ht="15" customHeight="1">
      <c r="B33" s="43"/>
      <c r="C33" s="43"/>
      <c r="D33" s="43"/>
      <c r="E33" s="43"/>
      <c r="F33" s="43"/>
      <c r="G33" s="43"/>
      <c r="H33" s="43"/>
      <c r="I33" s="43"/>
      <c r="J33" s="43"/>
      <c r="K33" s="82"/>
      <c r="L33" s="82"/>
      <c r="M33" s="208"/>
      <c r="N33" s="208"/>
      <c r="O33" s="208"/>
      <c r="P33" s="98"/>
      <c r="Q33" s="98"/>
      <c r="R33" s="98"/>
      <c r="S33" s="160"/>
      <c r="T33" s="98"/>
      <c r="U33" s="98"/>
      <c r="V33" s="98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209"/>
      <c r="AJ33" s="209"/>
      <c r="AK33" s="209"/>
      <c r="AL33" s="209"/>
      <c r="AM33" s="209"/>
      <c r="AN33" s="209"/>
    </row>
    <row r="34" spans="1:40" s="71" customFormat="1" ht="15" customHeight="1">
      <c r="A34" s="199" t="s">
        <v>15</v>
      </c>
      <c r="B34" s="43">
        <v>99534</v>
      </c>
      <c r="C34" s="43">
        <v>102074</v>
      </c>
      <c r="D34" s="90">
        <f>SUM(D19,D22,D25,D28)</f>
        <v>106824</v>
      </c>
      <c r="E34" s="90">
        <f t="shared" ref="E34:M34" si="56">SUM(E19,E22,E25,E28)</f>
        <v>107669.5</v>
      </c>
      <c r="F34" s="90">
        <f t="shared" si="56"/>
        <v>111143</v>
      </c>
      <c r="G34" s="90">
        <f t="shared" si="56"/>
        <v>108155</v>
      </c>
      <c r="H34" s="90">
        <f t="shared" si="56"/>
        <v>102150</v>
      </c>
      <c r="I34" s="90">
        <f t="shared" si="56"/>
        <v>108864.14</v>
      </c>
      <c r="J34" s="90">
        <f t="shared" si="56"/>
        <v>108946</v>
      </c>
      <c r="K34" s="90">
        <f t="shared" si="56"/>
        <v>110369</v>
      </c>
      <c r="L34" s="90">
        <f t="shared" si="56"/>
        <v>102981.45999999999</v>
      </c>
      <c r="M34" s="90">
        <f t="shared" si="56"/>
        <v>115512</v>
      </c>
      <c r="N34" s="90">
        <f>SUM(N19,N22,N25,N28)</f>
        <v>121140</v>
      </c>
      <c r="O34" s="90">
        <f t="shared" ref="O34:R34" si="57">SUM(O19,O22,O25,O28)</f>
        <v>121111.239</v>
      </c>
      <c r="P34" s="90">
        <f t="shared" ref="P34" si="58">SUM(P19,P22,P25,P28)</f>
        <v>136347.546</v>
      </c>
      <c r="Q34" s="90">
        <f t="shared" si="57"/>
        <v>139289.50599999999</v>
      </c>
      <c r="R34" s="90">
        <f t="shared" si="57"/>
        <v>134208.26699999999</v>
      </c>
      <c r="S34" s="149">
        <f t="shared" ref="S34" si="59">SUM(S19,S22,S25,S28)</f>
        <v>135567.19999999998</v>
      </c>
      <c r="T34" s="48">
        <f>SUM(T19,T22,T25,T28)</f>
        <v>159461.09093019675</v>
      </c>
      <c r="U34" s="48">
        <f>SUM(U19,U22,U25,U28)</f>
        <v>189346.88161936263</v>
      </c>
      <c r="V34" s="48">
        <f>SUM(V19,V22,V25,V28)</f>
        <v>189530.47775636791</v>
      </c>
      <c r="W34" s="48">
        <f t="shared" ref="W34:AH34" si="60">SUM(W19,W22,W25,W28,W31)</f>
        <v>189714.07389337319</v>
      </c>
      <c r="X34" s="48">
        <f t="shared" si="60"/>
        <v>189897.67003037845</v>
      </c>
      <c r="Y34" s="48">
        <f t="shared" ref="Y34" si="61">SUM(Y19,Y22,Y25,Y28,Y31)</f>
        <v>190081.26616738373</v>
      </c>
      <c r="Z34" s="48">
        <f t="shared" si="60"/>
        <v>191274.6563622728</v>
      </c>
      <c r="AA34" s="48">
        <f t="shared" si="60"/>
        <v>192468.04655716184</v>
      </c>
      <c r="AB34" s="48">
        <f t="shared" si="60"/>
        <v>193661.43675205088</v>
      </c>
      <c r="AC34" s="48">
        <f t="shared" si="60"/>
        <v>194854.82694693992</v>
      </c>
      <c r="AD34" s="48">
        <f t="shared" si="60"/>
        <v>196048.21714182897</v>
      </c>
      <c r="AE34" s="48">
        <f t="shared" si="60"/>
        <v>197241.60733671801</v>
      </c>
      <c r="AF34" s="48">
        <f t="shared" si="60"/>
        <v>198434.99753160705</v>
      </c>
      <c r="AG34" s="48">
        <f t="shared" si="60"/>
        <v>199628.38772649606</v>
      </c>
      <c r="AH34" s="48">
        <f t="shared" si="60"/>
        <v>200821.7779213851</v>
      </c>
      <c r="AI34" s="48">
        <f t="shared" ref="AI34:AJ34" si="62">SUM(AI19,AI22,AI25,AI28,AI31)</f>
        <v>202015.16811627414</v>
      </c>
      <c r="AJ34" s="48">
        <f t="shared" si="62"/>
        <v>203208.55831116319</v>
      </c>
      <c r="AK34" s="48">
        <f t="shared" ref="AK34:AL34" si="63">SUM(AK19,AK22,AK25,AK28,AK31)</f>
        <v>204401.94850605223</v>
      </c>
      <c r="AL34" s="48">
        <f t="shared" si="63"/>
        <v>205595.33870094127</v>
      </c>
      <c r="AM34" s="48">
        <f t="shared" ref="AM34:AN34" si="64">SUM(AM19,AM22,AM25,AM28,AM31)</f>
        <v>206788.72889583028</v>
      </c>
      <c r="AN34" s="48">
        <f t="shared" si="64"/>
        <v>207982.11909071932</v>
      </c>
    </row>
    <row r="35" spans="1:40" s="71" customFormat="1" ht="15" customHeight="1">
      <c r="A35" s="199" t="s">
        <v>16</v>
      </c>
      <c r="B35" s="43">
        <v>607</v>
      </c>
      <c r="C35" s="43">
        <v>608</v>
      </c>
      <c r="D35" s="90">
        <f>SUM(D20,D23,D26,D29)</f>
        <v>620</v>
      </c>
      <c r="E35" s="90">
        <f t="shared" ref="E35:M35" si="65">SUM(E20,E23,E26,E29)</f>
        <v>629</v>
      </c>
      <c r="F35" s="90">
        <f t="shared" si="65"/>
        <v>638</v>
      </c>
      <c r="G35" s="90">
        <f t="shared" si="65"/>
        <v>630</v>
      </c>
      <c r="H35" s="90">
        <f t="shared" si="65"/>
        <v>636</v>
      </c>
      <c r="I35" s="90">
        <f t="shared" si="65"/>
        <v>629</v>
      </c>
      <c r="J35" s="90">
        <f t="shared" si="65"/>
        <v>633</v>
      </c>
      <c r="K35" s="90">
        <f t="shared" si="65"/>
        <v>650</v>
      </c>
      <c r="L35" s="90">
        <f t="shared" si="65"/>
        <v>648</v>
      </c>
      <c r="M35" s="90">
        <f t="shared" si="65"/>
        <v>638</v>
      </c>
      <c r="N35" s="90">
        <f>SUM(N20,N23,N26,N29)</f>
        <v>665</v>
      </c>
      <c r="O35" s="90">
        <f t="shared" ref="O35:R35" si="66">SUM(O20,O23,O26,O29,O32)</f>
        <v>681</v>
      </c>
      <c r="P35" s="90">
        <f t="shared" ref="P35" si="67">SUM(P20,P23,P26,P29,P32)</f>
        <v>682</v>
      </c>
      <c r="Q35" s="90">
        <f t="shared" si="66"/>
        <v>683</v>
      </c>
      <c r="R35" s="90">
        <f t="shared" si="66"/>
        <v>697</v>
      </c>
      <c r="S35" s="149">
        <f t="shared" ref="S35" si="68">SUM(S20,S23,S26,S29,S32)</f>
        <v>704</v>
      </c>
      <c r="T35" s="48">
        <f t="shared" ref="T35:AL35" si="69">SUM(T20,T23,T26,T29)</f>
        <v>711</v>
      </c>
      <c r="U35" s="48">
        <f t="shared" si="69"/>
        <v>714</v>
      </c>
      <c r="V35" s="48">
        <f t="shared" si="69"/>
        <v>717</v>
      </c>
      <c r="W35" s="48">
        <f t="shared" si="69"/>
        <v>720</v>
      </c>
      <c r="X35" s="48">
        <f t="shared" si="69"/>
        <v>723</v>
      </c>
      <c r="Y35" s="48">
        <f t="shared" ref="Y35" si="70">SUM(Y20,Y23,Y26,Y29)</f>
        <v>726</v>
      </c>
      <c r="Z35" s="48">
        <f t="shared" si="69"/>
        <v>732</v>
      </c>
      <c r="AA35" s="48">
        <f t="shared" si="69"/>
        <v>738</v>
      </c>
      <c r="AB35" s="48">
        <f t="shared" si="69"/>
        <v>744</v>
      </c>
      <c r="AC35" s="48">
        <f t="shared" si="69"/>
        <v>750</v>
      </c>
      <c r="AD35" s="48">
        <f t="shared" si="69"/>
        <v>756</v>
      </c>
      <c r="AE35" s="48">
        <f t="shared" si="69"/>
        <v>762</v>
      </c>
      <c r="AF35" s="48">
        <f t="shared" si="69"/>
        <v>768</v>
      </c>
      <c r="AG35" s="48">
        <f t="shared" si="69"/>
        <v>774</v>
      </c>
      <c r="AH35" s="48">
        <f t="shared" si="69"/>
        <v>780</v>
      </c>
      <c r="AI35" s="48">
        <f t="shared" si="69"/>
        <v>786</v>
      </c>
      <c r="AJ35" s="48">
        <f t="shared" si="69"/>
        <v>792</v>
      </c>
      <c r="AK35" s="48">
        <f t="shared" si="69"/>
        <v>798</v>
      </c>
      <c r="AL35" s="48">
        <f t="shared" si="69"/>
        <v>804</v>
      </c>
      <c r="AM35" s="48">
        <f t="shared" ref="AM35:AN35" si="71">SUM(AM20,AM23,AM26,AM29)</f>
        <v>810</v>
      </c>
      <c r="AN35" s="48">
        <f t="shared" si="71"/>
        <v>816</v>
      </c>
    </row>
    <row r="36" spans="1:40" s="71" customFormat="1" ht="15" customHeight="1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63"/>
      <c r="O36" s="63"/>
      <c r="P36" s="49"/>
      <c r="Q36" s="63"/>
      <c r="R36" s="63"/>
      <c r="S36" s="132"/>
      <c r="T36" s="49"/>
      <c r="U36" s="49"/>
      <c r="V36" s="49"/>
      <c r="W36" s="66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</row>
    <row r="37" spans="1:40" s="71" customFormat="1" ht="15" customHeight="1">
      <c r="A37" s="71" t="s">
        <v>2</v>
      </c>
      <c r="B37" s="43">
        <v>726</v>
      </c>
      <c r="C37" s="43">
        <v>762</v>
      </c>
      <c r="D37" s="43">
        <v>778</v>
      </c>
      <c r="E37" s="43">
        <v>786</v>
      </c>
      <c r="F37" s="43">
        <v>802</v>
      </c>
      <c r="G37" s="43">
        <v>834</v>
      </c>
      <c r="H37" s="43">
        <v>852</v>
      </c>
      <c r="I37" s="43">
        <v>870.51</v>
      </c>
      <c r="J37" s="43">
        <v>879</v>
      </c>
      <c r="K37" s="43">
        <v>895</v>
      </c>
      <c r="L37" s="43">
        <v>908</v>
      </c>
      <c r="M37" s="43">
        <v>927</v>
      </c>
      <c r="N37" s="43">
        <v>935</v>
      </c>
      <c r="O37" s="43">
        <v>936</v>
      </c>
      <c r="P37" s="43">
        <v>944.38400000000001</v>
      </c>
      <c r="Q37" s="43">
        <v>967.68700000000001</v>
      </c>
      <c r="R37" s="43">
        <v>977.255</v>
      </c>
      <c r="S37" s="77">
        <v>995.94299999999998</v>
      </c>
      <c r="T37" s="48">
        <f t="shared" ref="T37:V37" si="72">S37/S38*T38</f>
        <v>995.94299999999987</v>
      </c>
      <c r="U37" s="48">
        <f t="shared" si="72"/>
        <v>995.94299999999987</v>
      </c>
      <c r="V37" s="48">
        <f t="shared" si="72"/>
        <v>999.99154878048773</v>
      </c>
      <c r="W37" s="48">
        <f t="shared" ref="W37" si="73">V37/V38*W38</f>
        <v>999.99154878048773</v>
      </c>
      <c r="X37" s="48">
        <f t="shared" ref="X37:Y37" si="74">W37/W38*X38</f>
        <v>999.99154878048773</v>
      </c>
      <c r="Y37" s="48">
        <f t="shared" si="74"/>
        <v>999.99154878048773</v>
      </c>
      <c r="Z37" s="48">
        <f t="shared" ref="Z37:AN37" si="75">(Y37/Y38)*0.99*Z38</f>
        <v>998.00775987804877</v>
      </c>
      <c r="AA37" s="48">
        <f t="shared" si="75"/>
        <v>995.96364759878043</v>
      </c>
      <c r="AB37" s="48">
        <f t="shared" si="75"/>
        <v>993.86061678910971</v>
      </c>
      <c r="AC37" s="48">
        <f t="shared" si="75"/>
        <v>991.70005023087253</v>
      </c>
      <c r="AD37" s="48">
        <f t="shared" si="75"/>
        <v>989.48330894212108</v>
      </c>
      <c r="AE37" s="48">
        <f t="shared" si="75"/>
        <v>987.21173247412173</v>
      </c>
      <c r="AF37" s="48">
        <f t="shared" si="75"/>
        <v>984.88663920458805</v>
      </c>
      <c r="AG37" s="48">
        <f t="shared" si="75"/>
        <v>982.50932662719765</v>
      </c>
      <c r="AH37" s="48">
        <f t="shared" si="75"/>
        <v>980.08107163743455</v>
      </c>
      <c r="AI37" s="48">
        <f t="shared" si="75"/>
        <v>977.60313081480399</v>
      </c>
      <c r="AJ37" s="48">
        <f t="shared" si="75"/>
        <v>975.07674070146231</v>
      </c>
      <c r="AK37" s="48">
        <f t="shared" si="75"/>
        <v>972.503118077306</v>
      </c>
      <c r="AL37" s="48">
        <f t="shared" si="75"/>
        <v>969.88346023156282</v>
      </c>
      <c r="AM37" s="48">
        <f t="shared" si="75"/>
        <v>967.21894523092658</v>
      </c>
      <c r="AN37" s="48">
        <f t="shared" si="75"/>
        <v>964.51073218427996</v>
      </c>
    </row>
    <row r="38" spans="1:40" s="71" customFormat="1" ht="15" customHeight="1">
      <c r="A38" s="71" t="s">
        <v>0</v>
      </c>
      <c r="B38" s="43">
        <v>131</v>
      </c>
      <c r="C38" s="43">
        <v>139</v>
      </c>
      <c r="D38" s="43">
        <v>142</v>
      </c>
      <c r="E38" s="43">
        <v>152</v>
      </c>
      <c r="F38" s="43">
        <v>164</v>
      </c>
      <c r="G38" s="43">
        <v>174</v>
      </c>
      <c r="H38" s="43">
        <v>181</v>
      </c>
      <c r="I38" s="43">
        <v>186</v>
      </c>
      <c r="J38" s="43">
        <v>192</v>
      </c>
      <c r="K38" s="43">
        <v>204</v>
      </c>
      <c r="L38" s="43">
        <v>212</v>
      </c>
      <c r="M38" s="43">
        <v>225</v>
      </c>
      <c r="N38" s="43">
        <v>230</v>
      </c>
      <c r="O38" s="43">
        <v>237</v>
      </c>
      <c r="P38" s="43">
        <v>254</v>
      </c>
      <c r="Q38" s="43">
        <v>250</v>
      </c>
      <c r="R38" s="43">
        <v>248</v>
      </c>
      <c r="S38" s="77">
        <v>246</v>
      </c>
      <c r="T38" s="48">
        <v>246</v>
      </c>
      <c r="U38" s="48">
        <f>T38</f>
        <v>246</v>
      </c>
      <c r="V38" s="48">
        <v>247</v>
      </c>
      <c r="W38" s="48">
        <f t="shared" ref="W38:Y38" si="76">V38</f>
        <v>247</v>
      </c>
      <c r="X38" s="48">
        <f t="shared" si="76"/>
        <v>247</v>
      </c>
      <c r="Y38" s="48">
        <f t="shared" si="76"/>
        <v>247</v>
      </c>
      <c r="Z38" s="103">
        <f t="shared" ref="Z38:AN38" si="77">(ROUND(($R38-$C38)/15*0.25,0))+Y38</f>
        <v>249</v>
      </c>
      <c r="AA38" s="103">
        <f t="shared" si="77"/>
        <v>251</v>
      </c>
      <c r="AB38" s="103">
        <f t="shared" si="77"/>
        <v>253</v>
      </c>
      <c r="AC38" s="103">
        <f t="shared" si="77"/>
        <v>255</v>
      </c>
      <c r="AD38" s="103">
        <f t="shared" si="77"/>
        <v>257</v>
      </c>
      <c r="AE38" s="103">
        <f t="shared" si="77"/>
        <v>259</v>
      </c>
      <c r="AF38" s="103">
        <f t="shared" si="77"/>
        <v>261</v>
      </c>
      <c r="AG38" s="103">
        <f t="shared" si="77"/>
        <v>263</v>
      </c>
      <c r="AH38" s="103">
        <f t="shared" si="77"/>
        <v>265</v>
      </c>
      <c r="AI38" s="103">
        <f t="shared" si="77"/>
        <v>267</v>
      </c>
      <c r="AJ38" s="103">
        <f t="shared" si="77"/>
        <v>269</v>
      </c>
      <c r="AK38" s="103">
        <f t="shared" si="77"/>
        <v>271</v>
      </c>
      <c r="AL38" s="103">
        <f t="shared" si="77"/>
        <v>273</v>
      </c>
      <c r="AM38" s="103">
        <f t="shared" si="77"/>
        <v>275</v>
      </c>
      <c r="AN38" s="103">
        <f t="shared" si="77"/>
        <v>277</v>
      </c>
    </row>
    <row r="39" spans="1:40" s="71" customFormat="1" ht="15" customHeight="1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89"/>
      <c r="M39" s="89"/>
      <c r="N39" s="89"/>
      <c r="O39" s="89"/>
      <c r="P39" s="89"/>
      <c r="Q39" s="116"/>
      <c r="R39" s="116"/>
      <c r="S39" s="156"/>
      <c r="T39" s="210"/>
      <c r="U39" s="210"/>
      <c r="V39" s="210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</row>
    <row r="40" spans="1:40" s="71" customFormat="1" ht="15" customHeight="1">
      <c r="A40" s="71" t="s">
        <v>1</v>
      </c>
      <c r="B40" s="90">
        <f t="shared" ref="B40:C40" si="78">SUM(B4,B9,B34,B37)</f>
        <v>190694</v>
      </c>
      <c r="C40" s="90">
        <f t="shared" si="78"/>
        <v>193335</v>
      </c>
      <c r="D40" s="90">
        <f t="shared" ref="D40:E40" si="79">SUM(D4,D9,D19,D22,D25,D28,D31,D37)</f>
        <v>207459</v>
      </c>
      <c r="E40" s="90">
        <f t="shared" si="79"/>
        <v>204312.5</v>
      </c>
      <c r="F40" s="90">
        <f t="shared" ref="F40:H41" si="80">SUM(F4,F9,F19,F22,F25,F28,F31,F37)</f>
        <v>210929</v>
      </c>
      <c r="G40" s="90">
        <f t="shared" si="80"/>
        <v>206787</v>
      </c>
      <c r="H40" s="90">
        <f t="shared" si="80"/>
        <v>198330</v>
      </c>
      <c r="I40" s="90">
        <f t="shared" ref="I40:L41" si="81">SUM(I4,I9,I19,I22,I25,I28,I31,I37)</f>
        <v>215491.55</v>
      </c>
      <c r="J40" s="90">
        <f t="shared" si="81"/>
        <v>218176</v>
      </c>
      <c r="K40" s="90">
        <f>SUM(K4,K9,K19,K22,K25,K28,K31,K37)</f>
        <v>221816</v>
      </c>
      <c r="L40" s="90">
        <f t="shared" si="81"/>
        <v>204456.96000000002</v>
      </c>
      <c r="M40" s="90">
        <f>SUM(M4,M9,M19,M22,M25,M28,M37)</f>
        <v>230840.44699999999</v>
      </c>
      <c r="N40" s="90">
        <f>SUM(N4,N9,N19,N22,N25,N28,N37)</f>
        <v>239145</v>
      </c>
      <c r="O40" s="90">
        <f>SUM(O4,O9,O19,O22,O25,O28,O37)</f>
        <v>245741.57700000002</v>
      </c>
      <c r="P40" s="90">
        <f>SUM(P4,P9,P19,P22,P25,P28,P37)</f>
        <v>270390.65000000002</v>
      </c>
      <c r="Q40" s="90">
        <f>SUM(Q4,Q9,Q19,Q22,Q25,Q28,Q37)</f>
        <v>278312.88399999996</v>
      </c>
      <c r="R40" s="90">
        <f t="shared" ref="R40:U40" si="82">SUM(R4,R9,R19,R22,R25,R28,R37)</f>
        <v>268429.03600000002</v>
      </c>
      <c r="S40" s="149">
        <f t="shared" ref="S40" si="83">SUM(S4,S9,S19,S22,S25,S28,S37)</f>
        <v>272160.40000000008</v>
      </c>
      <c r="T40" s="67">
        <f t="shared" si="82"/>
        <v>297162.40893019678</v>
      </c>
      <c r="U40" s="67">
        <f t="shared" si="82"/>
        <v>328176.44961936265</v>
      </c>
      <c r="V40" s="67">
        <f t="shared" ref="V40" si="84">SUM(V4,V9,V19,V22,V25,V28,V37)</f>
        <v>329034.08559868077</v>
      </c>
      <c r="W40" s="67">
        <f t="shared" ref="W40:AH40" si="85">SUM(W14,W19,W22,W25,W28,W31,W37)</f>
        <v>330093.82278108096</v>
      </c>
      <c r="X40" s="67">
        <f t="shared" si="85"/>
        <v>331131.28769941162</v>
      </c>
      <c r="Y40" s="67">
        <f t="shared" ref="Y40" si="86">SUM(Y14,Y19,Y22,Y25,Y28,Y31,Y37)</f>
        <v>332156.62916145584</v>
      </c>
      <c r="Z40" s="67">
        <f t="shared" si="85"/>
        <v>334039.63543265616</v>
      </c>
      <c r="AA40" s="67">
        <f t="shared" si="85"/>
        <v>335839.23240045365</v>
      </c>
      <c r="AB40" s="67">
        <f t="shared" si="85"/>
        <v>337629.20920551487</v>
      </c>
      <c r="AC40" s="67">
        <f t="shared" si="85"/>
        <v>339409.64731203794</v>
      </c>
      <c r="AD40" s="67">
        <f t="shared" si="85"/>
        <v>341180.62760228507</v>
      </c>
      <c r="AE40" s="67">
        <f t="shared" si="85"/>
        <v>342870.69631655194</v>
      </c>
      <c r="AF40" s="67">
        <f t="shared" si="85"/>
        <v>344481.00085746706</v>
      </c>
      <c r="AG40" s="67">
        <f t="shared" si="85"/>
        <v>346083.50148649624</v>
      </c>
      <c r="AH40" s="67">
        <f t="shared" si="85"/>
        <v>347678.2662348476</v>
      </c>
      <c r="AI40" s="67">
        <f t="shared" ref="AI40:AJ40" si="87">SUM(AI14,AI19,AI22,AI25,AI28,AI31,AI37)</f>
        <v>349265.36264105974</v>
      </c>
      <c r="AJ40" s="67">
        <f t="shared" si="87"/>
        <v>350775.08552659198</v>
      </c>
      <c r="AK40" s="67">
        <f t="shared" ref="AK40:AL40" si="88">SUM(AK14,AK19,AK22,AK25,AK28,AK31,AK37)</f>
        <v>352208.5428311351</v>
      </c>
      <c r="AL40" s="67">
        <f t="shared" si="88"/>
        <v>353635.91135337495</v>
      </c>
      <c r="AM40" s="67">
        <f t="shared" ref="AM40:AN40" si="89">SUM(AM14,AM19,AM22,AM25,AM28,AM31,AM37)</f>
        <v>355057.24639240466</v>
      </c>
      <c r="AN40" s="67">
        <f t="shared" si="89"/>
        <v>356472.60283941124</v>
      </c>
    </row>
    <row r="41" spans="1:40" s="71" customFormat="1" ht="15" customHeight="1">
      <c r="A41" s="71" t="s">
        <v>0</v>
      </c>
      <c r="B41" s="90">
        <f t="shared" ref="B41:C41" si="90">SUM(B5,B10,B35,B38)</f>
        <v>4084</v>
      </c>
      <c r="C41" s="90">
        <f t="shared" si="90"/>
        <v>4167</v>
      </c>
      <c r="D41" s="90">
        <f t="shared" ref="D41:T41" si="91">SUM(D5,D10,D20,D23,D26,D29,D32,D38)</f>
        <v>4228</v>
      </c>
      <c r="E41" s="90">
        <f t="shared" si="91"/>
        <v>4270</v>
      </c>
      <c r="F41" s="90">
        <f t="shared" si="80"/>
        <v>4339</v>
      </c>
      <c r="G41" s="90">
        <f t="shared" si="80"/>
        <v>4385</v>
      </c>
      <c r="H41" s="90">
        <f t="shared" si="80"/>
        <v>4446</v>
      </c>
      <c r="I41" s="90">
        <f t="shared" si="81"/>
        <v>4500</v>
      </c>
      <c r="J41" s="90">
        <f t="shared" si="81"/>
        <v>4582</v>
      </c>
      <c r="K41" s="90">
        <f>SUM(K5,K10,K20,K23,K26,K29,K32,K38)</f>
        <v>4725</v>
      </c>
      <c r="L41" s="90">
        <f t="shared" si="81"/>
        <v>4872</v>
      </c>
      <c r="M41" s="90">
        <f t="shared" ref="M41:N41" si="92">SUM(M5,M10,M20,M23,M26,M29,M32,M38)</f>
        <v>4961</v>
      </c>
      <c r="N41" s="90">
        <f t="shared" si="92"/>
        <v>5128</v>
      </c>
      <c r="O41" s="90">
        <f t="shared" ref="O41:P41" si="93">SUM(O5,O10,O20,O23,O26,O29,O32,O38)</f>
        <v>5278</v>
      </c>
      <c r="P41" s="90">
        <f t="shared" si="93"/>
        <v>5369</v>
      </c>
      <c r="Q41" s="90">
        <f t="shared" ref="Q41" si="94">SUM(Q5,Q10,Q20,Q23,Q26,Q29,Q32,Q38)</f>
        <v>5412</v>
      </c>
      <c r="R41" s="90">
        <f t="shared" si="91"/>
        <v>5476</v>
      </c>
      <c r="S41" s="149">
        <f t="shared" ref="S41" si="95">SUM(S5,S10,S20,S23,S26,S29,S32,S38)</f>
        <v>5490</v>
      </c>
      <c r="T41" s="67">
        <f t="shared" si="91"/>
        <v>5532</v>
      </c>
      <c r="U41" s="67">
        <f>SUM(U5,U10,U20,U23,U26,U29,U32,U38)</f>
        <v>5570</v>
      </c>
      <c r="V41" s="67">
        <f>SUM(V5,V10,V20,V23,V26,V29,V32,V38)</f>
        <v>5624</v>
      </c>
      <c r="W41" s="67">
        <f t="shared" ref="W41:AH41" si="96">SUM(W5,W10,W20,W23,W26,W29,W32,W38)</f>
        <v>5677</v>
      </c>
      <c r="X41" s="67">
        <f t="shared" si="96"/>
        <v>5730</v>
      </c>
      <c r="Y41" s="67">
        <f t="shared" ref="Y41" si="97">SUM(Y5,Y10,Y20,Y23,Y26,Y29,Y32,Y38)</f>
        <v>5783</v>
      </c>
      <c r="Z41" s="67">
        <f t="shared" si="96"/>
        <v>981</v>
      </c>
      <c r="AA41" s="67">
        <f t="shared" si="96"/>
        <v>989</v>
      </c>
      <c r="AB41" s="67">
        <f t="shared" si="96"/>
        <v>997</v>
      </c>
      <c r="AC41" s="67">
        <f t="shared" si="96"/>
        <v>1005</v>
      </c>
      <c r="AD41" s="67">
        <f t="shared" si="96"/>
        <v>1013</v>
      </c>
      <c r="AE41" s="67">
        <f t="shared" si="96"/>
        <v>1021</v>
      </c>
      <c r="AF41" s="67">
        <f t="shared" si="96"/>
        <v>1029</v>
      </c>
      <c r="AG41" s="67">
        <f t="shared" si="96"/>
        <v>1037</v>
      </c>
      <c r="AH41" s="67">
        <f t="shared" si="96"/>
        <v>1045</v>
      </c>
      <c r="AI41" s="67">
        <f t="shared" ref="AI41:AJ41" si="98">SUM(AI5,AI10,AI20,AI23,AI26,AI29,AI32,AI38)</f>
        <v>1053</v>
      </c>
      <c r="AJ41" s="67">
        <f t="shared" si="98"/>
        <v>1061</v>
      </c>
      <c r="AK41" s="67">
        <f t="shared" ref="AK41:AL41" si="99">SUM(AK5,AK10,AK20,AK23,AK26,AK29,AK32,AK38)</f>
        <v>1069</v>
      </c>
      <c r="AL41" s="67">
        <f t="shared" si="99"/>
        <v>1077</v>
      </c>
      <c r="AM41" s="67">
        <f t="shared" ref="AM41:AN41" si="100">SUM(AM5,AM10,AM20,AM23,AM26,AM29,AM32,AM38)</f>
        <v>1085</v>
      </c>
      <c r="AN41" s="67">
        <f t="shared" si="100"/>
        <v>1093</v>
      </c>
    </row>
    <row r="42" spans="1:40" s="71" customFormat="1" ht="15" customHeight="1">
      <c r="B42" s="90"/>
      <c r="C42" s="90"/>
      <c r="D42" s="90"/>
      <c r="E42" s="90"/>
      <c r="F42" s="90"/>
      <c r="G42" s="90"/>
      <c r="H42" s="90"/>
      <c r="I42" s="63"/>
      <c r="J42" s="63"/>
      <c r="K42" s="63"/>
      <c r="L42" s="63"/>
      <c r="M42" s="63"/>
      <c r="N42" s="63"/>
      <c r="O42" s="63"/>
      <c r="P42" s="49"/>
      <c r="Q42" s="63"/>
      <c r="R42" s="63"/>
      <c r="S42" s="132"/>
      <c r="T42" s="49"/>
      <c r="U42" s="49"/>
      <c r="V42" s="49"/>
      <c r="W42" s="49"/>
      <c r="X42" s="49"/>
      <c r="Y42" s="49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 s="71" customFormat="1" ht="15" customHeight="1">
      <c r="A43" s="71" t="s">
        <v>3</v>
      </c>
      <c r="B43" s="43"/>
      <c r="C43" s="43"/>
      <c r="D43" s="43">
        <v>569</v>
      </c>
      <c r="E43" s="43">
        <v>590</v>
      </c>
      <c r="F43" s="43">
        <v>513</v>
      </c>
      <c r="G43" s="43">
        <v>492.48</v>
      </c>
      <c r="H43" s="43">
        <v>443</v>
      </c>
      <c r="I43" s="43">
        <v>500.22</v>
      </c>
      <c r="J43" s="43">
        <v>532</v>
      </c>
      <c r="K43" s="43">
        <v>485</v>
      </c>
      <c r="L43" s="43">
        <v>775</v>
      </c>
      <c r="M43" s="43">
        <v>922</v>
      </c>
      <c r="N43" s="43">
        <v>1322</v>
      </c>
      <c r="O43" s="43">
        <v>1455</v>
      </c>
      <c r="P43" s="43">
        <v>1410.78</v>
      </c>
      <c r="Q43" s="43">
        <v>1321.86</v>
      </c>
      <c r="R43" s="43">
        <v>1182.72</v>
      </c>
      <c r="S43" s="77">
        <v>1088.1600000000001</v>
      </c>
      <c r="T43" s="48">
        <f>AVERAGE(N43:S43)</f>
        <v>1296.7533333333333</v>
      </c>
      <c r="U43" s="48">
        <f t="shared" ref="U43:Y44" si="101">+T43</f>
        <v>1296.7533333333333</v>
      </c>
      <c r="V43" s="48">
        <f t="shared" si="101"/>
        <v>1296.7533333333333</v>
      </c>
      <c r="W43" s="48">
        <f t="shared" si="101"/>
        <v>1296.7533333333333</v>
      </c>
      <c r="X43" s="48">
        <f t="shared" si="101"/>
        <v>1296.7533333333333</v>
      </c>
      <c r="Y43" s="48">
        <f t="shared" si="101"/>
        <v>1296.7533333333333</v>
      </c>
      <c r="Z43" s="48">
        <f t="shared" ref="Z43:AN43" si="102">+Y43</f>
        <v>1296.7533333333333</v>
      </c>
      <c r="AA43" s="48">
        <f t="shared" si="102"/>
        <v>1296.7533333333333</v>
      </c>
      <c r="AB43" s="48">
        <f t="shared" si="102"/>
        <v>1296.7533333333333</v>
      </c>
      <c r="AC43" s="48">
        <f t="shared" si="102"/>
        <v>1296.7533333333333</v>
      </c>
      <c r="AD43" s="48">
        <f t="shared" si="102"/>
        <v>1296.7533333333333</v>
      </c>
      <c r="AE43" s="48">
        <f t="shared" si="102"/>
        <v>1296.7533333333333</v>
      </c>
      <c r="AF43" s="48">
        <f t="shared" si="102"/>
        <v>1296.7533333333333</v>
      </c>
      <c r="AG43" s="48">
        <f t="shared" si="102"/>
        <v>1296.7533333333333</v>
      </c>
      <c r="AH43" s="48">
        <f t="shared" si="102"/>
        <v>1296.7533333333333</v>
      </c>
      <c r="AI43" s="48">
        <f t="shared" si="102"/>
        <v>1296.7533333333333</v>
      </c>
      <c r="AJ43" s="48">
        <f t="shared" si="102"/>
        <v>1296.7533333333333</v>
      </c>
      <c r="AK43" s="48">
        <f t="shared" si="102"/>
        <v>1296.7533333333333</v>
      </c>
      <c r="AL43" s="48">
        <f t="shared" si="102"/>
        <v>1296.7533333333333</v>
      </c>
      <c r="AM43" s="48">
        <f t="shared" si="102"/>
        <v>1296.7533333333333</v>
      </c>
      <c r="AN43" s="48">
        <f t="shared" si="102"/>
        <v>1296.7533333333333</v>
      </c>
    </row>
    <row r="44" spans="1:40" s="71" customFormat="1" ht="15" customHeight="1">
      <c r="A44" s="71" t="s">
        <v>0</v>
      </c>
      <c r="B44" s="43"/>
      <c r="C44" s="43"/>
      <c r="D44" s="43">
        <v>3</v>
      </c>
      <c r="E44" s="43">
        <v>3</v>
      </c>
      <c r="F44" s="43">
        <v>3</v>
      </c>
      <c r="G44" s="43">
        <v>3</v>
      </c>
      <c r="H44" s="43">
        <v>3</v>
      </c>
      <c r="I44" s="43">
        <f>+D44</f>
        <v>3</v>
      </c>
      <c r="J44" s="43">
        <f>+E44</f>
        <v>3</v>
      </c>
      <c r="K44" s="43">
        <f>+E44</f>
        <v>3</v>
      </c>
      <c r="L44" s="43">
        <v>4</v>
      </c>
      <c r="M44" s="43">
        <v>4</v>
      </c>
      <c r="N44" s="43">
        <v>4</v>
      </c>
      <c r="O44" s="43">
        <v>4</v>
      </c>
      <c r="P44" s="43">
        <v>4</v>
      </c>
      <c r="Q44" s="43">
        <v>4</v>
      </c>
      <c r="R44" s="43">
        <v>4</v>
      </c>
      <c r="S44" s="77">
        <v>4</v>
      </c>
      <c r="T44" s="48">
        <f t="shared" ref="T44" si="103">+S44</f>
        <v>4</v>
      </c>
      <c r="U44" s="48">
        <f t="shared" si="101"/>
        <v>4</v>
      </c>
      <c r="V44" s="48">
        <f t="shared" si="101"/>
        <v>4</v>
      </c>
      <c r="W44" s="48">
        <f t="shared" si="101"/>
        <v>4</v>
      </c>
      <c r="X44" s="48">
        <f t="shared" si="101"/>
        <v>4</v>
      </c>
      <c r="Y44" s="48">
        <f t="shared" si="101"/>
        <v>4</v>
      </c>
      <c r="Z44" s="48">
        <f t="shared" ref="Z44:AN44" si="104">+Y44</f>
        <v>4</v>
      </c>
      <c r="AA44" s="48">
        <f t="shared" si="104"/>
        <v>4</v>
      </c>
      <c r="AB44" s="48">
        <f t="shared" si="104"/>
        <v>4</v>
      </c>
      <c r="AC44" s="48">
        <f t="shared" si="104"/>
        <v>4</v>
      </c>
      <c r="AD44" s="48">
        <f t="shared" si="104"/>
        <v>4</v>
      </c>
      <c r="AE44" s="48">
        <f t="shared" si="104"/>
        <v>4</v>
      </c>
      <c r="AF44" s="48">
        <f t="shared" si="104"/>
        <v>4</v>
      </c>
      <c r="AG44" s="48">
        <f t="shared" si="104"/>
        <v>4</v>
      </c>
      <c r="AH44" s="48">
        <f t="shared" si="104"/>
        <v>4</v>
      </c>
      <c r="AI44" s="48">
        <f t="shared" si="104"/>
        <v>4</v>
      </c>
      <c r="AJ44" s="48">
        <f t="shared" si="104"/>
        <v>4</v>
      </c>
      <c r="AK44" s="48">
        <f t="shared" si="104"/>
        <v>4</v>
      </c>
      <c r="AL44" s="48">
        <f t="shared" si="104"/>
        <v>4</v>
      </c>
      <c r="AM44" s="48">
        <f t="shared" si="104"/>
        <v>4</v>
      </c>
      <c r="AN44" s="48">
        <f t="shared" si="104"/>
        <v>4</v>
      </c>
    </row>
    <row r="45" spans="1:40" s="71" customFormat="1" ht="15" customHeight="1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63"/>
      <c r="O45" s="63"/>
      <c r="P45" s="49"/>
      <c r="Q45" s="63"/>
      <c r="R45" s="63"/>
      <c r="S45" s="132"/>
      <c r="T45" s="49"/>
      <c r="U45" s="49"/>
      <c r="V45" s="49"/>
      <c r="W45" s="49"/>
      <c r="X45" s="49"/>
      <c r="Y45" s="49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 s="71" customFormat="1" ht="15" customHeight="1">
      <c r="A46" s="71" t="s">
        <v>4</v>
      </c>
      <c r="B46" s="90">
        <f t="shared" ref="B46" si="105">B49-(B40+B43)</f>
        <v>9021.8129999999946</v>
      </c>
      <c r="C46" s="90">
        <f t="shared" ref="C46:J46" si="106">C49-(C40+C43)</f>
        <v>7377.375</v>
      </c>
      <c r="D46" s="90">
        <f t="shared" si="106"/>
        <v>12043.606999999989</v>
      </c>
      <c r="E46" s="90">
        <f t="shared" si="106"/>
        <v>7753.5</v>
      </c>
      <c r="F46" s="90">
        <f t="shared" si="106"/>
        <v>8528</v>
      </c>
      <c r="G46" s="90">
        <f t="shared" si="106"/>
        <v>11705.51999999999</v>
      </c>
      <c r="H46" s="90">
        <f t="shared" si="106"/>
        <v>10300</v>
      </c>
      <c r="I46" s="90">
        <f>I49-(I40+I43)</f>
        <v>11993.130000000005</v>
      </c>
      <c r="J46" s="90">
        <f t="shared" si="106"/>
        <v>11330</v>
      </c>
      <c r="K46" s="90">
        <f t="shared" ref="K46:Q46" si="107">K49-(K40+K43)</f>
        <v>8453</v>
      </c>
      <c r="L46" s="90">
        <f t="shared" si="107"/>
        <v>11043.972999999969</v>
      </c>
      <c r="M46" s="90">
        <f t="shared" si="107"/>
        <v>12015.953000000009</v>
      </c>
      <c r="N46" s="90">
        <f t="shared" si="107"/>
        <v>10131.758999999991</v>
      </c>
      <c r="O46" s="90">
        <f t="shared" si="107"/>
        <v>17376.422999999981</v>
      </c>
      <c r="P46" s="90">
        <f t="shared" si="107"/>
        <v>8201.7049999999581</v>
      </c>
      <c r="Q46" s="90">
        <f t="shared" si="107"/>
        <v>10677.174000000057</v>
      </c>
      <c r="R46" s="90">
        <f t="shared" ref="R46:S46" si="108">R49-(R40+R43)</f>
        <v>14494.918999999994</v>
      </c>
      <c r="S46" s="149">
        <f t="shared" si="108"/>
        <v>5304.146999999939</v>
      </c>
      <c r="T46" s="64">
        <f t="shared" ref="T46:V46" si="109">T47*T40</f>
        <v>13880.009102715647</v>
      </c>
      <c r="U46" s="64">
        <f t="shared" si="109"/>
        <v>15328.628289198061</v>
      </c>
      <c r="V46" s="64">
        <f t="shared" si="109"/>
        <v>15368.687175658859</v>
      </c>
      <c r="W46" s="64">
        <f t="shared" ref="W46:AH46" si="110">W47*(W40+W43)</f>
        <v>15478.755302803864</v>
      </c>
      <c r="X46" s="48">
        <f t="shared" si="110"/>
        <v>15527.213728491079</v>
      </c>
      <c r="Y46" s="48">
        <f t="shared" ref="Y46" si="111">Y47*(Y40+Y43)</f>
        <v>15575.105885772346</v>
      </c>
      <c r="Z46" s="48">
        <f t="shared" si="110"/>
        <v>15663.058276112775</v>
      </c>
      <c r="AA46" s="48">
        <f t="shared" si="110"/>
        <v>15747.114743363034</v>
      </c>
      <c r="AB46" s="48">
        <f t="shared" si="110"/>
        <v>15830.721867283393</v>
      </c>
      <c r="AC46" s="48">
        <f t="shared" si="110"/>
        <v>15913.883452944005</v>
      </c>
      <c r="AD46" s="48">
        <f t="shared" si="110"/>
        <v>15996.603278233662</v>
      </c>
      <c r="AE46" s="48">
        <f t="shared" si="110"/>
        <v>16075.543845523753</v>
      </c>
      <c r="AF46" s="48">
        <f t="shared" si="110"/>
        <v>16150.758748265021</v>
      </c>
      <c r="AG46" s="48">
        <f t="shared" si="110"/>
        <v>16225.609142021445</v>
      </c>
      <c r="AH46" s="48">
        <f t="shared" si="110"/>
        <v>16300.098204428416</v>
      </c>
      <c r="AI46" s="48">
        <f t="shared" ref="AI46:AJ46" si="112">AI47*(AI40+AI43)</f>
        <v>16374.229090109471</v>
      </c>
      <c r="AJ46" s="48">
        <f t="shared" si="112"/>
        <v>16444.745975031776</v>
      </c>
      <c r="AK46" s="48">
        <f t="shared" ref="AK46:AL46" si="113">AK47*(AK40+AK43)</f>
        <v>16511.700609391624</v>
      </c>
      <c r="AL46" s="48">
        <f t="shared" si="113"/>
        <v>16578.370845889378</v>
      </c>
      <c r="AM46" s="48">
        <f t="shared" ref="AM46:AN46" si="114">AM47*(AM40+AM43)</f>
        <v>16644.759267462498</v>
      </c>
      <c r="AN46" s="48">
        <f t="shared" si="114"/>
        <v>16710.868437995749</v>
      </c>
    </row>
    <row r="47" spans="1:40" s="71" customFormat="1" ht="15" customHeight="1">
      <c r="A47" s="71" t="s">
        <v>5</v>
      </c>
      <c r="B47" s="211">
        <f t="shared" ref="B47:L47" si="115">B46/(B40+B43)</f>
        <v>4.7310418786118046E-2</v>
      </c>
      <c r="C47" s="211">
        <f t="shared" si="115"/>
        <v>3.8158507254247812E-2</v>
      </c>
      <c r="D47" s="211">
        <f t="shared" si="115"/>
        <v>5.7894163285711488E-2</v>
      </c>
      <c r="E47" s="99">
        <f t="shared" si="115"/>
        <v>3.7839948268078717E-2</v>
      </c>
      <c r="F47" s="99">
        <f t="shared" si="115"/>
        <v>4.033257347168491E-2</v>
      </c>
      <c r="G47" s="99">
        <f t="shared" si="115"/>
        <v>5.6472160196465122E-2</v>
      </c>
      <c r="H47" s="99">
        <f t="shared" si="115"/>
        <v>5.181790283388589E-2</v>
      </c>
      <c r="I47" s="99">
        <f t="shared" si="115"/>
        <v>5.5525865638306519E-2</v>
      </c>
      <c r="J47" s="99">
        <f t="shared" si="115"/>
        <v>5.1804232126854068E-2</v>
      </c>
      <c r="K47" s="99">
        <f t="shared" si="115"/>
        <v>3.8025020130363789E-2</v>
      </c>
      <c r="L47" s="99">
        <f t="shared" si="115"/>
        <v>5.3812149920509297E-2</v>
      </c>
      <c r="M47" s="99">
        <f t="shared" ref="M47:O47" si="116">M46/(M40+M43)</f>
        <v>5.1845987801466424E-2</v>
      </c>
      <c r="N47" s="99">
        <f t="shared" si="116"/>
        <v>4.2133677386086206E-2</v>
      </c>
      <c r="O47" s="99">
        <f t="shared" si="116"/>
        <v>7.0293946667392485E-2</v>
      </c>
      <c r="P47" s="99">
        <f t="shared" ref="P47:Q47" si="117">P46/(P40+P43)</f>
        <v>3.0175356325387828E-2</v>
      </c>
      <c r="Q47" s="99">
        <f t="shared" si="117"/>
        <v>3.8182572906605837E-2</v>
      </c>
      <c r="R47" s="99">
        <f t="shared" ref="R47:S47" si="118">R46/(R40+R43)</f>
        <v>5.3762192031418667E-2</v>
      </c>
      <c r="S47" s="150">
        <f t="shared" si="118"/>
        <v>1.941143623959057E-2</v>
      </c>
      <c r="T47" s="212">
        <f>AVERAGE(P47:R47,H47:N47)</f>
        <v>4.6708495710088456E-2</v>
      </c>
      <c r="U47" s="213">
        <f t="shared" ref="U47:Y47" si="119">T47</f>
        <v>4.6708495710088456E-2</v>
      </c>
      <c r="V47" s="213">
        <f t="shared" si="119"/>
        <v>4.6708495710088456E-2</v>
      </c>
      <c r="W47" s="213">
        <f t="shared" si="119"/>
        <v>4.6708495710088456E-2</v>
      </c>
      <c r="X47" s="213">
        <f t="shared" si="119"/>
        <v>4.6708495710088456E-2</v>
      </c>
      <c r="Y47" s="213">
        <f t="shared" si="119"/>
        <v>4.6708495710088456E-2</v>
      </c>
      <c r="Z47" s="68">
        <f t="shared" ref="Z47:AN47" si="120">Y47</f>
        <v>4.6708495710088456E-2</v>
      </c>
      <c r="AA47" s="68">
        <f t="shared" si="120"/>
        <v>4.6708495710088456E-2</v>
      </c>
      <c r="AB47" s="68">
        <f t="shared" si="120"/>
        <v>4.6708495710088456E-2</v>
      </c>
      <c r="AC47" s="68">
        <f t="shared" si="120"/>
        <v>4.6708495710088456E-2</v>
      </c>
      <c r="AD47" s="68">
        <f t="shared" si="120"/>
        <v>4.6708495710088456E-2</v>
      </c>
      <c r="AE47" s="68">
        <f t="shared" si="120"/>
        <v>4.6708495710088456E-2</v>
      </c>
      <c r="AF47" s="68">
        <f t="shared" si="120"/>
        <v>4.6708495710088456E-2</v>
      </c>
      <c r="AG47" s="68">
        <f t="shared" si="120"/>
        <v>4.6708495710088456E-2</v>
      </c>
      <c r="AH47" s="68">
        <f t="shared" si="120"/>
        <v>4.6708495710088456E-2</v>
      </c>
      <c r="AI47" s="68">
        <f t="shared" si="120"/>
        <v>4.6708495710088456E-2</v>
      </c>
      <c r="AJ47" s="68">
        <f t="shared" si="120"/>
        <v>4.6708495710088456E-2</v>
      </c>
      <c r="AK47" s="68">
        <f t="shared" si="120"/>
        <v>4.6708495710088456E-2</v>
      </c>
      <c r="AL47" s="68">
        <f t="shared" si="120"/>
        <v>4.6708495710088456E-2</v>
      </c>
      <c r="AM47" s="68">
        <f t="shared" si="120"/>
        <v>4.6708495710088456E-2</v>
      </c>
      <c r="AN47" s="68">
        <f t="shared" si="120"/>
        <v>4.6708495710088456E-2</v>
      </c>
    </row>
    <row r="48" spans="1:40" s="91" customFormat="1" ht="15" customHeight="1"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O48" s="101"/>
      <c r="P48" s="72"/>
      <c r="Q48" s="101"/>
      <c r="R48" s="101"/>
      <c r="S48" s="161"/>
      <c r="T48" s="62"/>
      <c r="U48" s="72"/>
      <c r="V48" s="72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</row>
    <row r="49" spans="1:40" s="71" customFormat="1" ht="15" customHeight="1">
      <c r="A49" s="71" t="s">
        <v>31</v>
      </c>
      <c r="B49" s="43">
        <v>199715.81299999999</v>
      </c>
      <c r="C49" s="43">
        <v>200712.375</v>
      </c>
      <c r="D49" s="43">
        <v>220071.60699999999</v>
      </c>
      <c r="E49" s="43">
        <v>212656</v>
      </c>
      <c r="F49" s="43">
        <v>219970</v>
      </c>
      <c r="G49" s="43">
        <v>218985</v>
      </c>
      <c r="H49" s="43">
        <v>209073</v>
      </c>
      <c r="I49" s="43">
        <v>227984.9</v>
      </c>
      <c r="J49" s="43">
        <v>230038</v>
      </c>
      <c r="K49" s="43">
        <v>230754</v>
      </c>
      <c r="L49" s="43">
        <v>216275.93299999999</v>
      </c>
      <c r="M49" s="43">
        <v>243778.4</v>
      </c>
      <c r="N49" s="43">
        <v>250598.75899999999</v>
      </c>
      <c r="O49" s="43">
        <v>264573</v>
      </c>
      <c r="P49" s="43">
        <v>280003.13500000001</v>
      </c>
      <c r="Q49" s="43">
        <v>290311.91800000001</v>
      </c>
      <c r="R49" s="43">
        <v>284106.67499999999</v>
      </c>
      <c r="S49" s="77">
        <v>278552.70699999999</v>
      </c>
      <c r="T49" s="48">
        <f>T40+T43+T46</f>
        <v>312339.17136624578</v>
      </c>
      <c r="U49" s="48">
        <f t="shared" ref="U49:AH49" si="121">U40+U43+U46</f>
        <v>344801.83124189405</v>
      </c>
      <c r="V49" s="48">
        <f t="shared" ref="V49" si="122">V40+V43+V46</f>
        <v>345699.52610767301</v>
      </c>
      <c r="W49" s="48">
        <f t="shared" si="121"/>
        <v>346869.3314172182</v>
      </c>
      <c r="X49" s="48">
        <f>X40+X43+X46</f>
        <v>347955.25476123608</v>
      </c>
      <c r="Y49" s="48">
        <f>Y40+Y43+Y46</f>
        <v>349028.48838056152</v>
      </c>
      <c r="Z49" s="48">
        <f t="shared" si="121"/>
        <v>350999.44704210229</v>
      </c>
      <c r="AA49" s="48">
        <f t="shared" si="121"/>
        <v>352883.10047715006</v>
      </c>
      <c r="AB49" s="48">
        <f t="shared" si="121"/>
        <v>354756.68440613162</v>
      </c>
      <c r="AC49" s="48">
        <f t="shared" si="121"/>
        <v>356620.28409831529</v>
      </c>
      <c r="AD49" s="48">
        <f t="shared" si="121"/>
        <v>358473.98421385209</v>
      </c>
      <c r="AE49" s="48">
        <f t="shared" si="121"/>
        <v>360242.99349540903</v>
      </c>
      <c r="AF49" s="48">
        <f t="shared" si="121"/>
        <v>361928.51293906546</v>
      </c>
      <c r="AG49" s="48">
        <f t="shared" si="121"/>
        <v>363605.86396185105</v>
      </c>
      <c r="AH49" s="48">
        <f t="shared" si="121"/>
        <v>365275.11777260934</v>
      </c>
      <c r="AI49" s="48">
        <f t="shared" ref="AI49:AJ49" si="123">AI40+AI43+AI46</f>
        <v>366936.34506450256</v>
      </c>
      <c r="AJ49" s="48">
        <f t="shared" si="123"/>
        <v>368516.58483495709</v>
      </c>
      <c r="AK49" s="48">
        <f t="shared" ref="AK49:AL49" si="124">AK40+AK43+AK46</f>
        <v>370016.99677386007</v>
      </c>
      <c r="AL49" s="48">
        <f t="shared" si="124"/>
        <v>371511.03553259769</v>
      </c>
      <c r="AM49" s="48">
        <f t="shared" ref="AM49:AN49" si="125">AM40+AM43+AM46</f>
        <v>372998.75899320049</v>
      </c>
      <c r="AN49" s="48">
        <f t="shared" si="125"/>
        <v>374480.22461074032</v>
      </c>
    </row>
    <row r="50" spans="1:40" s="71" customFormat="1" ht="20.25" customHeight="1">
      <c r="A50" s="71" t="s">
        <v>35</v>
      </c>
      <c r="B50" s="43">
        <v>206100</v>
      </c>
      <c r="C50" s="43">
        <v>210900</v>
      </c>
      <c r="D50" s="43">
        <v>215400</v>
      </c>
      <c r="E50" s="43">
        <v>219200</v>
      </c>
      <c r="F50" s="43">
        <v>224100</v>
      </c>
      <c r="G50" s="43">
        <v>227000</v>
      </c>
      <c r="H50" s="43">
        <v>229700</v>
      </c>
      <c r="I50" s="43">
        <v>232100</v>
      </c>
      <c r="J50" s="43">
        <v>234300</v>
      </c>
      <c r="K50" s="43">
        <v>237000</v>
      </c>
      <c r="L50" s="43">
        <v>243500</v>
      </c>
      <c r="M50" s="43">
        <v>251500</v>
      </c>
      <c r="N50" s="43">
        <v>259600</v>
      </c>
      <c r="O50" s="43">
        <v>266200</v>
      </c>
      <c r="P50" s="43">
        <v>273500</v>
      </c>
      <c r="Q50" s="43">
        <v>275300</v>
      </c>
      <c r="R50" s="43">
        <v>276400</v>
      </c>
      <c r="S50" s="77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</row>
    <row r="51" spans="1:40" s="71" customFormat="1" ht="24" customHeight="1">
      <c r="A51" s="71" t="s">
        <v>38</v>
      </c>
      <c r="B51" s="43">
        <v>48684</v>
      </c>
      <c r="C51" s="43">
        <v>54426</v>
      </c>
      <c r="D51" s="43">
        <v>51645</v>
      </c>
      <c r="E51" s="43">
        <v>55514</v>
      </c>
      <c r="F51" s="43">
        <v>56884</v>
      </c>
      <c r="G51" s="43">
        <v>51235</v>
      </c>
      <c r="H51" s="43">
        <v>55004</v>
      </c>
      <c r="I51" s="43">
        <v>59018</v>
      </c>
      <c r="J51" s="43">
        <v>59841</v>
      </c>
      <c r="K51" s="43">
        <v>57797</v>
      </c>
      <c r="L51" s="43">
        <v>62072</v>
      </c>
      <c r="M51" s="43">
        <v>61110</v>
      </c>
      <c r="N51" s="43">
        <v>67336</v>
      </c>
      <c r="O51" s="43">
        <v>70323</v>
      </c>
      <c r="P51" s="43">
        <v>70963</v>
      </c>
      <c r="Q51" s="43">
        <v>70616</v>
      </c>
      <c r="R51" s="43">
        <v>71104</v>
      </c>
      <c r="S51" s="77">
        <v>66888</v>
      </c>
      <c r="T51" s="80">
        <f>(T49-((T69+T73)*(1+T47)))/8.76/AVERAGE($D54:$R54)+(T71+T75)*1000</f>
        <v>78744.078418438381</v>
      </c>
      <c r="U51" s="80">
        <f>(U49-((U69+U73)*(1+U47)))/8.76/AVERAGE($G54:$R54)+(U71+U75)*1000</f>
        <v>80253.886821006177</v>
      </c>
      <c r="V51" s="80">
        <f>(V49-((V69+V73)*(1+V47)))/8.76/AVERAGE($G54:$R54)+(V71+V75)*1000</f>
        <v>80478.89993525618</v>
      </c>
      <c r="W51" s="80">
        <f>(W49-((W69+W73)*(1+W47)))/8.76/AVERAGE($G54:$R54)+(W71+W75)*1000</f>
        <v>80772.119319482619</v>
      </c>
      <c r="X51" s="80">
        <f>(X49-((X69+X73)*(1+X47)))/8.76/AVERAGE($G54:$R54)+(X71+X75)*1000</f>
        <v>81044.313138105164</v>
      </c>
      <c r="Y51" s="80">
        <f>(Y49-((Y69+Y73)*(1+Y47)))/8.76/AVERAGE($G54:$R54)+(Y71+Y75)*1000</f>
        <v>81313.326193886285</v>
      </c>
      <c r="Z51" s="48">
        <f t="shared" ref="Z51:AH51" si="126">Z49/(8.76*Z53)</f>
        <v>81856.028091198008</v>
      </c>
      <c r="AA51" s="48">
        <f t="shared" si="126"/>
        <v>82379.458678295079</v>
      </c>
      <c r="AB51" s="48">
        <f t="shared" si="126"/>
        <v>82901.607672955171</v>
      </c>
      <c r="AC51" s="48">
        <f t="shared" si="126"/>
        <v>83422.491082483204</v>
      </c>
      <c r="AD51" s="48">
        <f t="shared" si="126"/>
        <v>83942.124837221185</v>
      </c>
      <c r="AE51" s="48">
        <f t="shared" si="126"/>
        <v>84442.973598868979</v>
      </c>
      <c r="AF51" s="48">
        <f t="shared" si="126"/>
        <v>84925.261258035534</v>
      </c>
      <c r="AG51" s="48">
        <f t="shared" si="126"/>
        <v>85406.622617695888</v>
      </c>
      <c r="AH51" s="48">
        <f t="shared" si="126"/>
        <v>85887.071559272139</v>
      </c>
      <c r="AI51" s="48">
        <f t="shared" ref="AI51:AJ51" si="127">AI49/(8.76*AI53)</f>
        <v>86366.621900052312</v>
      </c>
      <c r="AJ51" s="48">
        <f t="shared" si="127"/>
        <v>86828.080142451858</v>
      </c>
      <c r="AK51" s="48">
        <f t="shared" ref="AK51:AL51" si="128">AK49/(8.76*AK53)</f>
        <v>87271.663738530784</v>
      </c>
      <c r="AL51" s="48">
        <f t="shared" si="128"/>
        <v>87714.660056278721</v>
      </c>
      <c r="AM51" s="48">
        <f t="shared" ref="AM51:AN51" si="129">AM49/(8.76*AM53)</f>
        <v>88157.080952080971</v>
      </c>
      <c r="AN51" s="48">
        <f t="shared" si="129"/>
        <v>88598.938230453656</v>
      </c>
    </row>
    <row r="52" spans="1:40" s="71" customFormat="1" ht="15" customHeight="1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S52" s="132"/>
      <c r="U52" s="49"/>
      <c r="V52" s="49"/>
      <c r="W52" s="61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</row>
    <row r="53" spans="1:40" s="71" customFormat="1" ht="15" customHeight="1">
      <c r="A53" s="71" t="s">
        <v>32</v>
      </c>
      <c r="B53" s="99">
        <f t="shared" ref="B53:O53" si="130">B49/(B51*8.76)</f>
        <v>0.46829777318943266</v>
      </c>
      <c r="C53" s="99">
        <f t="shared" si="130"/>
        <v>0.42098209633892747</v>
      </c>
      <c r="D53" s="99">
        <f t="shared" si="130"/>
        <v>0.48644262883551254</v>
      </c>
      <c r="E53" s="99">
        <f t="shared" si="130"/>
        <v>0.43729147758687881</v>
      </c>
      <c r="F53" s="99">
        <f t="shared" si="130"/>
        <v>0.44143749725067344</v>
      </c>
      <c r="G53" s="99">
        <f t="shared" si="130"/>
        <v>0.4879142709326218</v>
      </c>
      <c r="H53" s="99">
        <f t="shared" si="130"/>
        <v>0.4339099124048762</v>
      </c>
      <c r="I53" s="99">
        <f t="shared" si="130"/>
        <v>0.44097857460404849</v>
      </c>
      <c r="J53" s="99">
        <f t="shared" si="130"/>
        <v>0.43883032807106259</v>
      </c>
      <c r="K53" s="99">
        <f t="shared" si="130"/>
        <v>0.4557638081893145</v>
      </c>
      <c r="L53" s="99">
        <f t="shared" si="130"/>
        <v>0.39774831562521884</v>
      </c>
      <c r="M53" s="99">
        <f t="shared" si="130"/>
        <v>0.45538511659116093</v>
      </c>
      <c r="N53" s="99">
        <f t="shared" si="130"/>
        <v>0.42484204986049651</v>
      </c>
      <c r="O53" s="99">
        <f t="shared" si="130"/>
        <v>0.42948106963971922</v>
      </c>
      <c r="P53" s="99">
        <f t="shared" ref="P53:R53" si="131">P49/(P51*8.76)</f>
        <v>0.4504294941920019</v>
      </c>
      <c r="Q53" s="99">
        <f t="shared" si="131"/>
        <v>0.46930766269224816</v>
      </c>
      <c r="R53" s="99">
        <f t="shared" si="131"/>
        <v>0.45612439294015011</v>
      </c>
      <c r="S53" s="150">
        <f>S49/(S51*8.76)</f>
        <v>0.47539550029518435</v>
      </c>
      <c r="T53" s="102">
        <f t="shared" ref="T53:X53" si="132">T49/(T51*8.76)</f>
        <v>0.45279794068056978</v>
      </c>
      <c r="U53" s="102">
        <f t="shared" si="132"/>
        <v>0.49045524395938711</v>
      </c>
      <c r="V53" s="102">
        <f t="shared" si="132"/>
        <v>0.49035730177828857</v>
      </c>
      <c r="W53" s="102">
        <f t="shared" si="132"/>
        <v>0.49023049011026731</v>
      </c>
      <c r="X53" s="102">
        <f t="shared" si="132"/>
        <v>0.49011359286375311</v>
      </c>
      <c r="Y53" s="102">
        <f t="shared" ref="Y53" si="133">Y49/(Y51*8.76)</f>
        <v>0.48999883059309851</v>
      </c>
      <c r="Z53" s="102">
        <f t="shared" ref="Z53:AK53" si="134">MAX(Y53-0.0005,0.45)</f>
        <v>0.48949883059309851</v>
      </c>
      <c r="AA53" s="102">
        <f t="shared" si="134"/>
        <v>0.48899883059309851</v>
      </c>
      <c r="AB53" s="102">
        <f t="shared" si="134"/>
        <v>0.48849883059309851</v>
      </c>
      <c r="AC53" s="102">
        <f t="shared" si="134"/>
        <v>0.48799883059309851</v>
      </c>
      <c r="AD53" s="102">
        <f t="shared" si="134"/>
        <v>0.48749883059309851</v>
      </c>
      <c r="AE53" s="102">
        <f t="shared" si="134"/>
        <v>0.48699883059309851</v>
      </c>
      <c r="AF53" s="102">
        <f t="shared" si="134"/>
        <v>0.48649883059309851</v>
      </c>
      <c r="AG53" s="102">
        <f t="shared" si="134"/>
        <v>0.48599883059309851</v>
      </c>
      <c r="AH53" s="102">
        <f t="shared" si="134"/>
        <v>0.48549883059309851</v>
      </c>
      <c r="AI53" s="102">
        <f t="shared" si="134"/>
        <v>0.48499883059309851</v>
      </c>
      <c r="AJ53" s="102">
        <f t="shared" si="134"/>
        <v>0.48449883059309851</v>
      </c>
      <c r="AK53" s="102">
        <f t="shared" si="134"/>
        <v>0.48399883059309851</v>
      </c>
      <c r="AL53" s="102">
        <f t="shared" ref="AL53:AN53" si="135">MAX(AK53-0.0005,0.45)</f>
        <v>0.48349883059309851</v>
      </c>
      <c r="AM53" s="102">
        <f t="shared" si="135"/>
        <v>0.4829988305930985</v>
      </c>
      <c r="AN53" s="102">
        <f t="shared" si="135"/>
        <v>0.4824988305930985</v>
      </c>
    </row>
    <row r="54" spans="1:40" s="71" customFormat="1" ht="17.25" customHeight="1">
      <c r="B54" s="99">
        <f>B50/(B51*8.76)</f>
        <v>0.48326754704366887</v>
      </c>
      <c r="C54" s="99">
        <f t="shared" ref="C54:L54" si="136">C50/(C51*8.76)</f>
        <v>0.44235002509376814</v>
      </c>
      <c r="D54" s="99">
        <f t="shared" si="136"/>
        <v>0.47611658623081443</v>
      </c>
      <c r="E54" s="99">
        <f t="shared" si="136"/>
        <v>0.45074811849674512</v>
      </c>
      <c r="F54" s="99">
        <f t="shared" si="136"/>
        <v>0.44972561319214399</v>
      </c>
      <c r="G54" s="99">
        <f t="shared" si="136"/>
        <v>0.50577226523143204</v>
      </c>
      <c r="H54" s="99">
        <f t="shared" si="136"/>
        <v>0.47671916928249969</v>
      </c>
      <c r="I54" s="99">
        <f t="shared" si="136"/>
        <v>0.448938184790307</v>
      </c>
      <c r="J54" s="99">
        <f t="shared" si="136"/>
        <v>0.44696070156691492</v>
      </c>
      <c r="K54" s="99">
        <f t="shared" si="136"/>
        <v>0.46810032563191767</v>
      </c>
      <c r="L54" s="99">
        <f t="shared" si="136"/>
        <v>0.44781549898453471</v>
      </c>
      <c r="M54" s="99">
        <f t="shared" ref="M54:R54" si="137">M50/(M51*8.76)</f>
        <v>0.46980928918508358</v>
      </c>
      <c r="N54" s="99">
        <f t="shared" si="137"/>
        <v>0.4401019246220006</v>
      </c>
      <c r="O54" s="99">
        <f t="shared" si="137"/>
        <v>0.43212217701010025</v>
      </c>
      <c r="P54" s="99">
        <f t="shared" si="137"/>
        <v>0.43996816914750803</v>
      </c>
      <c r="Q54" s="99">
        <f t="shared" si="137"/>
        <v>0.44503994334526742</v>
      </c>
      <c r="R54" s="99">
        <f t="shared" si="137"/>
        <v>0.44375156693751566</v>
      </c>
      <c r="S54" s="150"/>
      <c r="T54" s="118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</row>
    <row r="55" spans="1:40" s="71" customFormat="1" ht="17.25" customHeight="1">
      <c r="A55" s="71" t="s">
        <v>48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150"/>
      <c r="T55" s="80">
        <f>0.88*T51</f>
        <v>69294.78900822578</v>
      </c>
      <c r="U55" s="80">
        <f t="shared" ref="U55:Y55" si="138">0.88*U51</f>
        <v>70623.420402485441</v>
      </c>
      <c r="V55" s="80">
        <f t="shared" si="138"/>
        <v>70821.43194302544</v>
      </c>
      <c r="W55" s="80">
        <f t="shared" si="138"/>
        <v>71079.465001144708</v>
      </c>
      <c r="X55" s="80">
        <f t="shared" si="138"/>
        <v>71318.995561532545</v>
      </c>
      <c r="Y55" s="80">
        <f t="shared" si="138"/>
        <v>71555.727050619927</v>
      </c>
      <c r="Z55" s="48">
        <f>Z49/(8.76*Z56)</f>
        <v>72024.476367024516</v>
      </c>
      <c r="AA55" s="48">
        <f t="shared" ref="AA55:AN55" si="139">AA49/(8.76*AA56)</f>
        <v>72476.138039019745</v>
      </c>
      <c r="AB55" s="48">
        <f t="shared" si="139"/>
        <v>72926.543085508005</v>
      </c>
      <c r="AC55" s="48">
        <f t="shared" si="139"/>
        <v>73375.705653493715</v>
      </c>
      <c r="AD55" s="48">
        <f t="shared" si="139"/>
        <v>73823.639815583578</v>
      </c>
      <c r="AE55" s="48">
        <f t="shared" si="139"/>
        <v>74254.925930198515</v>
      </c>
      <c r="AF55" s="48">
        <f t="shared" si="139"/>
        <v>74669.76664422566</v>
      </c>
      <c r="AG55" s="48">
        <f t="shared" si="139"/>
        <v>75083.671013025363</v>
      </c>
      <c r="AH55" s="48">
        <f t="shared" si="139"/>
        <v>75496.651211394623</v>
      </c>
      <c r="AI55" s="48">
        <f t="shared" si="139"/>
        <v>75908.719351576859</v>
      </c>
      <c r="AJ55" s="48">
        <f t="shared" si="139"/>
        <v>76304.765701999233</v>
      </c>
      <c r="AK55" s="48">
        <f t="shared" si="139"/>
        <v>76684.986974155036</v>
      </c>
      <c r="AL55" s="48">
        <f t="shared" si="139"/>
        <v>77064.577135872663</v>
      </c>
      <c r="AM55" s="48">
        <f t="shared" si="139"/>
        <v>77443.546483075304</v>
      </c>
      <c r="AN55" s="48">
        <f t="shared" si="139"/>
        <v>77821.905260444808</v>
      </c>
    </row>
    <row r="56" spans="1:40" s="71" customFormat="1" ht="17.25" customHeight="1">
      <c r="A56" s="71" t="s">
        <v>32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150"/>
      <c r="T56" s="212">
        <f>T49/(T55*8.76)</f>
        <v>0.51454311440973832</v>
      </c>
      <c r="U56" s="212">
        <f t="shared" ref="U56:Y56" si="140">U49/(U55*8.76)</f>
        <v>0.55733550449930347</v>
      </c>
      <c r="V56" s="212">
        <f t="shared" si="140"/>
        <v>0.55722420656623695</v>
      </c>
      <c r="W56" s="212">
        <f t="shared" si="140"/>
        <v>0.55708010239803107</v>
      </c>
      <c r="X56" s="212">
        <f t="shared" si="140"/>
        <v>0.55694726461790123</v>
      </c>
      <c r="Y56" s="212">
        <f t="shared" si="140"/>
        <v>0.5568168529467028</v>
      </c>
      <c r="Z56" s="102">
        <f t="shared" ref="Z56" si="141">MAX(Y56-0.0005,0.45)</f>
        <v>0.55631685294670286</v>
      </c>
      <c r="AA56" s="102">
        <f t="shared" ref="AA56" si="142">MAX(Z56-0.0005,0.45)</f>
        <v>0.55581685294670291</v>
      </c>
      <c r="AB56" s="102">
        <f t="shared" ref="AB56" si="143">MAX(AA56-0.0005,0.45)</f>
        <v>0.55531685294670297</v>
      </c>
      <c r="AC56" s="102">
        <f t="shared" ref="AC56" si="144">MAX(AB56-0.0005,0.45)</f>
        <v>0.55481685294670302</v>
      </c>
      <c r="AD56" s="102">
        <f t="shared" ref="AD56" si="145">MAX(AC56-0.0005,0.45)</f>
        <v>0.55431685294670308</v>
      </c>
      <c r="AE56" s="102">
        <f t="shared" ref="AE56" si="146">MAX(AD56-0.0005,0.45)</f>
        <v>0.55381685294670313</v>
      </c>
      <c r="AF56" s="102">
        <f t="shared" ref="AF56" si="147">MAX(AE56-0.0005,0.45)</f>
        <v>0.55331685294670319</v>
      </c>
      <c r="AG56" s="102">
        <f t="shared" ref="AG56" si="148">MAX(AF56-0.0005,0.45)</f>
        <v>0.55281685294670324</v>
      </c>
      <c r="AH56" s="102">
        <f t="shared" ref="AH56" si="149">MAX(AG56-0.0005,0.45)</f>
        <v>0.5523168529467033</v>
      </c>
      <c r="AI56" s="102">
        <f t="shared" ref="AI56" si="150">MAX(AH56-0.0005,0.45)</f>
        <v>0.55181685294670335</v>
      </c>
      <c r="AJ56" s="102">
        <f t="shared" ref="AJ56" si="151">MAX(AI56-0.0005,0.45)</f>
        <v>0.55131685294670341</v>
      </c>
      <c r="AK56" s="102">
        <f t="shared" ref="AK56" si="152">MAX(AJ56-0.0005,0.45)</f>
        <v>0.55081685294670346</v>
      </c>
      <c r="AL56" s="102">
        <f t="shared" ref="AL56" si="153">MAX(AK56-0.0005,0.45)</f>
        <v>0.55031685294670352</v>
      </c>
      <c r="AM56" s="102">
        <f t="shared" ref="AM56" si="154">MAX(AL56-0.0005,0.45)</f>
        <v>0.54981685294670357</v>
      </c>
      <c r="AN56" s="102">
        <f t="shared" ref="AN56" si="155">MAX(AM56-0.0005,0.45)</f>
        <v>0.54931685294670363</v>
      </c>
    </row>
    <row r="57" spans="1:40" s="91" customFormat="1" ht="27" customHeight="1">
      <c r="B57" s="215"/>
      <c r="C57" s="215"/>
      <c r="D57" s="215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5"/>
      <c r="Z57" s="64"/>
      <c r="AA57" s="64"/>
      <c r="AB57" s="64"/>
      <c r="AC57" s="64"/>
      <c r="AD57" s="64"/>
      <c r="AE57" s="64"/>
      <c r="AF57" s="64"/>
      <c r="AG57" s="64"/>
      <c r="AH57" s="64"/>
    </row>
    <row r="58" spans="1:40" s="91" customFormat="1" ht="15" customHeight="1">
      <c r="A58" s="216" t="s">
        <v>42</v>
      </c>
      <c r="B58" s="217"/>
      <c r="C58" s="217"/>
      <c r="D58" s="217"/>
      <c r="E58" s="218"/>
      <c r="F58" s="219"/>
      <c r="G58" s="219"/>
      <c r="H58" s="219"/>
      <c r="I58" s="219"/>
      <c r="J58" s="219"/>
      <c r="K58" s="219"/>
      <c r="L58" s="219"/>
      <c r="M58" s="219"/>
      <c r="N58" s="219"/>
      <c r="O58" s="86"/>
      <c r="P58" s="93"/>
      <c r="Q58" s="93"/>
      <c r="R58" s="119">
        <v>31957</v>
      </c>
      <c r="S58" s="247">
        <v>45656.033454999997</v>
      </c>
      <c r="T58" s="246">
        <v>50530.083837693746</v>
      </c>
      <c r="U58" s="176">
        <v>33303.767650770315</v>
      </c>
      <c r="V58" s="176">
        <v>9062</v>
      </c>
      <c r="W58" s="176">
        <v>0</v>
      </c>
      <c r="X58" s="176"/>
      <c r="Y58" s="176"/>
      <c r="Z58" s="64"/>
      <c r="AA58" s="69"/>
      <c r="AB58" s="69"/>
      <c r="AC58" s="69"/>
      <c r="AD58" s="69"/>
      <c r="AE58" s="69"/>
      <c r="AF58" s="69"/>
      <c r="AG58" s="69"/>
      <c r="AH58" s="69"/>
    </row>
    <row r="59" spans="1:40" s="91" customFormat="1" ht="15" customHeight="1">
      <c r="A59" s="220" t="s">
        <v>0</v>
      </c>
      <c r="B59" s="215"/>
      <c r="C59" s="215"/>
      <c r="D59" s="215"/>
      <c r="E59" s="221"/>
      <c r="F59" s="82"/>
      <c r="G59" s="82"/>
      <c r="H59" s="82"/>
      <c r="I59" s="82"/>
      <c r="J59" s="82"/>
      <c r="K59" s="82"/>
      <c r="L59" s="82"/>
      <c r="M59" s="82"/>
      <c r="N59" s="82"/>
      <c r="O59" s="63"/>
      <c r="P59" s="63"/>
      <c r="Q59" s="94"/>
      <c r="R59" s="49">
        <v>1</v>
      </c>
      <c r="S59" s="148">
        <v>1</v>
      </c>
      <c r="T59" s="64">
        <v>1</v>
      </c>
      <c r="U59" s="64">
        <v>1</v>
      </c>
      <c r="V59" s="64">
        <v>1</v>
      </c>
      <c r="W59" s="64">
        <v>0</v>
      </c>
      <c r="X59" s="64"/>
      <c r="Y59" s="64"/>
      <c r="Z59" s="64"/>
      <c r="AA59" s="69"/>
      <c r="AB59" s="69"/>
      <c r="AC59" s="69"/>
      <c r="AD59" s="69"/>
      <c r="AE59" s="69"/>
      <c r="AF59" s="69"/>
      <c r="AG59" s="69"/>
      <c r="AH59" s="69"/>
    </row>
    <row r="60" spans="1:40" s="91" customFormat="1" ht="15" customHeight="1">
      <c r="A60" s="220" t="s">
        <v>45</v>
      </c>
      <c r="B60" s="215"/>
      <c r="C60" s="215"/>
      <c r="D60" s="215"/>
      <c r="E60" s="221"/>
      <c r="F60" s="82"/>
      <c r="G60" s="82"/>
      <c r="H60" s="82"/>
      <c r="I60" s="82"/>
      <c r="J60" s="82"/>
      <c r="K60" s="82"/>
      <c r="L60" s="82"/>
      <c r="M60" s="82"/>
      <c r="N60" s="82"/>
      <c r="O60" s="63"/>
      <c r="P60" s="63"/>
      <c r="Q60" s="94"/>
      <c r="R60" s="49">
        <v>486.66199999999998</v>
      </c>
      <c r="S60" s="148">
        <v>684.84050182499993</v>
      </c>
      <c r="T60" s="64">
        <v>757.95125756540619</v>
      </c>
      <c r="U60" s="64">
        <v>499.55651476155469</v>
      </c>
      <c r="V60" s="64">
        <v>423.27238812482159</v>
      </c>
      <c r="W60" s="64">
        <v>0</v>
      </c>
      <c r="X60" s="64"/>
      <c r="Y60" s="64"/>
      <c r="Z60" s="64"/>
      <c r="AA60" s="69"/>
      <c r="AB60" s="69"/>
      <c r="AC60" s="69"/>
      <c r="AD60" s="69"/>
      <c r="AE60" s="69"/>
      <c r="AF60" s="69"/>
      <c r="AG60" s="69"/>
      <c r="AH60" s="69"/>
    </row>
    <row r="61" spans="1:40" s="91" customFormat="1" ht="15" customHeight="1">
      <c r="A61" s="220" t="s">
        <v>44</v>
      </c>
      <c r="B61" s="215"/>
      <c r="C61" s="215"/>
      <c r="D61" s="215"/>
      <c r="E61" s="221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94"/>
      <c r="R61" s="49"/>
      <c r="S61" s="148"/>
      <c r="T61" s="64">
        <v>9437.1839999999993</v>
      </c>
      <c r="U61" s="64">
        <v>3191.3564358321141</v>
      </c>
      <c r="V61" s="64">
        <v>0</v>
      </c>
      <c r="W61" s="64">
        <v>0</v>
      </c>
      <c r="X61" s="64"/>
      <c r="Y61" s="64"/>
      <c r="Z61" s="64"/>
      <c r="AA61" s="69"/>
      <c r="AB61" s="69"/>
      <c r="AC61" s="69"/>
      <c r="AD61" s="69"/>
      <c r="AE61" s="69"/>
      <c r="AF61" s="69"/>
      <c r="AG61" s="69"/>
      <c r="AH61" s="69"/>
    </row>
    <row r="62" spans="1:40" s="91" customFormat="1" ht="15" customHeight="1">
      <c r="A62" s="193" t="s">
        <v>43</v>
      </c>
      <c r="B62" s="222"/>
      <c r="C62" s="222"/>
      <c r="D62" s="222"/>
      <c r="E62" s="223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95"/>
      <c r="R62" s="120">
        <v>9179.52</v>
      </c>
      <c r="S62" s="162">
        <v>9682.9439999999995</v>
      </c>
      <c r="T62" s="177">
        <v>10753.363200000002</v>
      </c>
      <c r="U62" s="177">
        <v>8065.0224000000017</v>
      </c>
      <c r="V62" s="177">
        <v>3274.4646763485753</v>
      </c>
      <c r="W62" s="177">
        <v>0</v>
      </c>
      <c r="X62" s="177"/>
      <c r="Y62" s="177"/>
      <c r="Z62" s="69"/>
      <c r="AA62" s="69"/>
      <c r="AB62" s="69"/>
      <c r="AC62" s="69"/>
      <c r="AD62" s="69"/>
      <c r="AE62" s="69"/>
      <c r="AF62" s="69"/>
      <c r="AG62" s="69"/>
      <c r="AH62" s="69"/>
    </row>
    <row r="63" spans="1:40" s="91" customFormat="1" ht="28.5" customHeight="1">
      <c r="B63" s="215"/>
      <c r="C63" s="215"/>
      <c r="D63" s="215"/>
      <c r="E63" s="221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S63" s="248"/>
      <c r="T63" s="224"/>
      <c r="U63" s="224"/>
      <c r="V63" s="224"/>
      <c r="W63" s="224"/>
      <c r="X63" s="224"/>
      <c r="Y63" s="224"/>
      <c r="Z63" s="69"/>
      <c r="AA63" s="69"/>
      <c r="AB63" s="69"/>
      <c r="AC63" s="69"/>
      <c r="AD63" s="69"/>
      <c r="AE63" s="69"/>
      <c r="AF63" s="69"/>
      <c r="AG63" s="69"/>
      <c r="AH63" s="69"/>
    </row>
    <row r="64" spans="1:40" s="91" customFormat="1" ht="30.75" customHeight="1">
      <c r="S64" s="248"/>
      <c r="T64" s="224"/>
      <c r="U64" s="224"/>
      <c r="V64" s="224"/>
      <c r="W64" s="224"/>
      <c r="X64" s="224"/>
      <c r="Y64" s="224"/>
      <c r="AG64" s="69"/>
      <c r="AH64" s="69"/>
    </row>
    <row r="65" spans="1:34" s="91" customFormat="1" ht="18" customHeight="1">
      <c r="S65" s="153"/>
      <c r="T65" s="96"/>
      <c r="U65" s="96"/>
      <c r="V65" s="96"/>
      <c r="W65" s="96"/>
      <c r="X65" s="96"/>
      <c r="Y65" s="96"/>
      <c r="AG65" s="69"/>
      <c r="AH65" s="69"/>
    </row>
    <row r="66" spans="1:34" s="71" customFormat="1">
      <c r="S66" s="167"/>
      <c r="Y66" s="50"/>
      <c r="Z66" s="50"/>
      <c r="AA66" s="50"/>
      <c r="AB66" s="50"/>
      <c r="AC66" s="50"/>
      <c r="AD66" s="50"/>
      <c r="AE66" s="50"/>
      <c r="AF66" s="50"/>
      <c r="AG66" s="50"/>
      <c r="AH66" s="50"/>
    </row>
    <row r="67" spans="1:34" s="71" customFormat="1">
      <c r="S67" s="155"/>
      <c r="T67" s="225"/>
      <c r="U67" s="225"/>
      <c r="V67" s="225"/>
      <c r="W67" s="225"/>
      <c r="X67" s="225"/>
      <c r="Y67" s="225"/>
      <c r="Z67" s="50"/>
      <c r="AA67" s="50"/>
      <c r="AB67" s="50"/>
      <c r="AC67" s="50"/>
      <c r="AD67" s="50"/>
      <c r="AE67" s="50"/>
      <c r="AF67" s="50"/>
      <c r="AG67" s="50"/>
      <c r="AH67" s="50"/>
    </row>
    <row r="68" spans="1:34" s="71" customFormat="1">
      <c r="Q68" s="178"/>
      <c r="R68" s="179"/>
      <c r="S68" s="180"/>
      <c r="T68" s="179"/>
      <c r="U68" s="181"/>
      <c r="V68" s="181"/>
      <c r="W68" s="181"/>
      <c r="X68" s="181"/>
      <c r="Y68" s="182"/>
      <c r="Z68" s="50"/>
      <c r="AA68" s="50"/>
      <c r="AB68" s="50"/>
      <c r="AC68" s="50"/>
      <c r="AD68" s="50"/>
      <c r="AE68" s="50"/>
      <c r="AF68" s="50"/>
      <c r="AG68" s="50"/>
      <c r="AH68" s="50"/>
    </row>
    <row r="69" spans="1:34" s="71" customFormat="1">
      <c r="A69" s="183" t="s">
        <v>47</v>
      </c>
      <c r="Q69" s="257"/>
      <c r="R69" s="258" t="s">
        <v>47</v>
      </c>
      <c r="S69" s="259"/>
      <c r="T69" s="260">
        <v>11200</v>
      </c>
      <c r="U69" s="261">
        <f>T69+4000</f>
        <v>15200</v>
      </c>
      <c r="V69" s="261">
        <f>U69</f>
        <v>15200</v>
      </c>
      <c r="W69" s="261">
        <f t="shared" ref="W69:Y69" si="156">V69</f>
        <v>15200</v>
      </c>
      <c r="X69" s="261">
        <f t="shared" si="156"/>
        <v>15200</v>
      </c>
      <c r="Y69" s="262">
        <f t="shared" si="156"/>
        <v>15200</v>
      </c>
      <c r="Z69" s="50"/>
      <c r="AA69" s="50"/>
      <c r="AB69" s="50"/>
      <c r="AC69" s="50"/>
      <c r="AD69" s="50"/>
      <c r="AE69" s="50"/>
      <c r="AF69" s="50"/>
      <c r="AG69" s="50"/>
      <c r="AH69" s="50"/>
    </row>
    <row r="70" spans="1:34" s="71" customFormat="1">
      <c r="A70" s="88" t="s">
        <v>0</v>
      </c>
      <c r="Q70" s="135"/>
      <c r="R70" s="88" t="s">
        <v>0</v>
      </c>
      <c r="S70" s="155"/>
      <c r="T70" s="71">
        <v>2</v>
      </c>
      <c r="U70" s="71">
        <v>2</v>
      </c>
      <c r="V70" s="71">
        <v>2</v>
      </c>
      <c r="W70" s="71">
        <v>2</v>
      </c>
      <c r="X70" s="71">
        <v>2</v>
      </c>
      <c r="Y70" s="155">
        <v>2</v>
      </c>
      <c r="Z70" s="50"/>
      <c r="AA70" s="50"/>
      <c r="AB70" s="50"/>
      <c r="AC70" s="50"/>
      <c r="AD70" s="50"/>
      <c r="AE70" s="50"/>
      <c r="AF70" s="50"/>
      <c r="AG70" s="50"/>
      <c r="AH70" s="50"/>
    </row>
    <row r="71" spans="1:34" s="71" customFormat="1">
      <c r="A71" s="88" t="s">
        <v>41</v>
      </c>
      <c r="Q71" s="135"/>
      <c r="R71" s="88" t="s">
        <v>41</v>
      </c>
      <c r="S71" s="155"/>
      <c r="T71" s="184">
        <f>U69/8760/0.9</f>
        <v>1.9279553526128868</v>
      </c>
      <c r="U71" s="62">
        <f>T71</f>
        <v>1.9279553526128868</v>
      </c>
      <c r="V71" s="62">
        <f t="shared" ref="V71:Y71" si="157">U71</f>
        <v>1.9279553526128868</v>
      </c>
      <c r="W71" s="62">
        <f t="shared" si="157"/>
        <v>1.9279553526128868</v>
      </c>
      <c r="X71" s="62">
        <f t="shared" si="157"/>
        <v>1.9279553526128868</v>
      </c>
      <c r="Y71" s="185">
        <f t="shared" si="157"/>
        <v>1.9279553526128868</v>
      </c>
      <c r="Z71" s="50"/>
      <c r="AA71" s="50"/>
      <c r="AB71" s="50"/>
      <c r="AC71" s="50"/>
      <c r="AD71" s="50"/>
      <c r="AE71" s="50"/>
      <c r="AF71" s="50"/>
      <c r="AG71" s="50"/>
      <c r="AH71" s="50"/>
    </row>
    <row r="72" spans="1:34" s="71" customFormat="1">
      <c r="Q72" s="135"/>
      <c r="S72" s="155"/>
      <c r="U72" s="50"/>
      <c r="V72" s="50"/>
      <c r="W72" s="50"/>
      <c r="X72" s="50"/>
      <c r="Y72" s="186"/>
      <c r="Z72" s="50"/>
      <c r="AA72" s="50"/>
      <c r="AB72" s="50"/>
      <c r="AC72" s="50"/>
      <c r="AD72" s="50"/>
      <c r="AE72" s="50"/>
      <c r="AF72" s="50"/>
      <c r="AG72" s="50"/>
      <c r="AH72" s="50"/>
    </row>
    <row r="73" spans="1:34" s="71" customFormat="1">
      <c r="A73" s="183" t="s">
        <v>46</v>
      </c>
      <c r="Q73" s="135"/>
      <c r="R73" s="183" t="s">
        <v>46</v>
      </c>
      <c r="S73" s="155"/>
      <c r="T73" s="187">
        <f>(3*0.975*0.75*8760*0.93*0.4)+(3*0.975*0.75*8760*0.93*0.2)</f>
        <v>10723.225499999999</v>
      </c>
      <c r="U73" s="187">
        <f>(3*0.975*0.75*8760*0.93)+(3*0.975*0.75*8760*0.93)</f>
        <v>35744.084999999992</v>
      </c>
      <c r="V73" s="187">
        <f t="shared" ref="V73:Y73" si="158">(3*0.975*0.75*8760*0.93)+(3*0.975*0.75*8760*0.93)</f>
        <v>35744.084999999992</v>
      </c>
      <c r="W73" s="187">
        <f t="shared" si="158"/>
        <v>35744.084999999992</v>
      </c>
      <c r="X73" s="187">
        <f t="shared" si="158"/>
        <v>35744.084999999992</v>
      </c>
      <c r="Y73" s="188">
        <f t="shared" si="158"/>
        <v>35744.084999999992</v>
      </c>
      <c r="Z73" s="50"/>
      <c r="AA73" s="50"/>
      <c r="AB73" s="50"/>
      <c r="AC73" s="50"/>
      <c r="AD73" s="50"/>
      <c r="AE73" s="50"/>
      <c r="AF73" s="50"/>
      <c r="AG73" s="50"/>
      <c r="AH73" s="50"/>
    </row>
    <row r="74" spans="1:34" s="71" customFormat="1">
      <c r="A74" s="88" t="s">
        <v>0</v>
      </c>
      <c r="Q74" s="135"/>
      <c r="R74" s="88" t="s">
        <v>0</v>
      </c>
      <c r="S74" s="155"/>
      <c r="T74" s="189">
        <v>1</v>
      </c>
      <c r="U74" s="189">
        <v>1</v>
      </c>
      <c r="V74" s="189">
        <v>1</v>
      </c>
      <c r="W74" s="189">
        <v>1</v>
      </c>
      <c r="X74" s="189">
        <v>1</v>
      </c>
      <c r="Y74" s="190">
        <v>1</v>
      </c>
      <c r="Z74" s="50"/>
      <c r="AA74" s="50"/>
      <c r="AB74" s="50"/>
      <c r="AC74" s="50"/>
      <c r="AD74" s="50"/>
      <c r="AE74" s="50"/>
      <c r="AF74" s="50"/>
      <c r="AG74" s="50"/>
      <c r="AH74" s="50"/>
    </row>
    <row r="75" spans="1:34" s="71" customFormat="1">
      <c r="A75" s="88" t="s">
        <v>41</v>
      </c>
      <c r="Q75" s="135"/>
      <c r="R75" s="88" t="s">
        <v>41</v>
      </c>
      <c r="S75" s="155"/>
      <c r="T75" s="191">
        <f>(3*0.975*0.75)+(3*0.975*0.75)</f>
        <v>4.3874999999999993</v>
      </c>
      <c r="U75" s="191">
        <f>(6*0.975)*0.9</f>
        <v>5.2649999999999997</v>
      </c>
      <c r="V75" s="191">
        <f t="shared" ref="V75:Y75" si="159">(6*0.975)*0.9</f>
        <v>5.2649999999999997</v>
      </c>
      <c r="W75" s="191">
        <f t="shared" si="159"/>
        <v>5.2649999999999997</v>
      </c>
      <c r="X75" s="191">
        <f t="shared" si="159"/>
        <v>5.2649999999999997</v>
      </c>
      <c r="Y75" s="192">
        <f t="shared" si="159"/>
        <v>5.2649999999999997</v>
      </c>
      <c r="Z75" s="50"/>
      <c r="AA75" s="50"/>
      <c r="AB75" s="50"/>
      <c r="AC75" s="50"/>
      <c r="AD75" s="50"/>
      <c r="AE75" s="50"/>
      <c r="AF75" s="50"/>
      <c r="AG75" s="50"/>
      <c r="AH75" s="50"/>
    </row>
    <row r="76" spans="1:34" s="71" customFormat="1">
      <c r="Q76" s="193"/>
      <c r="R76" s="194"/>
      <c r="S76" s="195"/>
      <c r="T76" s="194"/>
      <c r="U76" s="196"/>
      <c r="V76" s="196"/>
      <c r="W76" s="196"/>
      <c r="X76" s="196"/>
      <c r="Y76" s="197"/>
      <c r="Z76" s="50"/>
      <c r="AA76" s="50"/>
      <c r="AB76" s="50"/>
      <c r="AC76" s="50"/>
      <c r="AD76" s="50"/>
      <c r="AE76" s="50"/>
      <c r="AF76" s="50"/>
      <c r="AG76" s="50"/>
      <c r="AH76" s="50"/>
    </row>
  </sheetData>
  <phoneticPr fontId="0" type="noConversion"/>
  <pageMargins left="0.75" right="0.75" top="1" bottom="1" header="0.5" footer="0.5"/>
  <pageSetup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zoomScale="90" zoomScaleNormal="90" workbookViewId="0">
      <pane xSplit="1" ySplit="2" topLeftCell="G3" activePane="bottomRight" state="frozen"/>
      <selection activeCell="B35" sqref="B35"/>
      <selection pane="topRight" activeCell="B35" sqref="B35"/>
      <selection pane="bottomLeft" activeCell="B35" sqref="B35"/>
      <selection pane="bottomRight"/>
    </sheetView>
  </sheetViews>
  <sheetFormatPr defaultColWidth="9.140625" defaultRowHeight="15.75"/>
  <cols>
    <col min="1" max="1" width="26" style="11" customWidth="1"/>
    <col min="2" max="2" width="8.42578125" style="11" bestFit="1" customWidth="1"/>
    <col min="3" max="7" width="8.7109375" style="1" customWidth="1"/>
    <col min="8" max="14" width="10.42578125" style="1" customWidth="1"/>
    <col min="15" max="15" width="13.140625" style="1" customWidth="1"/>
    <col min="16" max="16" width="11.140625" style="2" customWidth="1"/>
    <col min="17" max="17" width="13.7109375" style="2" customWidth="1"/>
    <col min="18" max="18" width="11.140625" style="35" customWidth="1"/>
    <col min="19" max="19" width="21.28515625" style="1" customWidth="1"/>
    <col min="20" max="24" width="12.42578125" style="11" bestFit="1" customWidth="1"/>
    <col min="25" max="25" width="12.140625" style="11" bestFit="1" customWidth="1"/>
    <col min="26" max="16384" width="9.140625" style="11"/>
  </cols>
  <sheetData>
    <row r="1" spans="1:25" s="1" customFormat="1">
      <c r="A1" s="5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10"/>
      <c r="S1" s="251" t="s">
        <v>52</v>
      </c>
      <c r="T1" s="252"/>
      <c r="U1" s="252"/>
      <c r="V1" s="252"/>
      <c r="W1" s="252"/>
      <c r="X1" s="250"/>
    </row>
    <row r="2" spans="1:25" s="2" customFormat="1" ht="21.75" customHeight="1">
      <c r="A2" s="2" t="s">
        <v>18</v>
      </c>
      <c r="B2" s="2">
        <v>2001</v>
      </c>
      <c r="C2" s="2">
        <v>2002</v>
      </c>
      <c r="D2" s="2">
        <v>2003</v>
      </c>
      <c r="E2" s="2">
        <v>2004</v>
      </c>
      <c r="F2" s="2">
        <v>2005</v>
      </c>
      <c r="G2" s="2">
        <v>2006</v>
      </c>
      <c r="H2" s="2">
        <v>2007</v>
      </c>
      <c r="I2" s="2">
        <v>2008</v>
      </c>
      <c r="J2" s="2">
        <v>2009</v>
      </c>
      <c r="K2" s="2">
        <v>2010</v>
      </c>
      <c r="L2" s="2">
        <v>2011</v>
      </c>
      <c r="M2" s="2">
        <v>2012</v>
      </c>
      <c r="N2" s="2">
        <f t="shared" ref="N2:X2" si="0">+M2+1</f>
        <v>2013</v>
      </c>
      <c r="O2" s="2">
        <f t="shared" si="0"/>
        <v>2014</v>
      </c>
      <c r="P2" s="2">
        <f t="shared" si="0"/>
        <v>2015</v>
      </c>
      <c r="Q2" s="2">
        <v>2016</v>
      </c>
      <c r="R2" s="32">
        <f t="shared" si="0"/>
        <v>2017</v>
      </c>
      <c r="S2" s="2">
        <f t="shared" si="0"/>
        <v>2018</v>
      </c>
      <c r="T2" s="2">
        <f t="shared" si="0"/>
        <v>2019</v>
      </c>
      <c r="U2" s="2">
        <f t="shared" si="0"/>
        <v>2020</v>
      </c>
      <c r="V2" s="2">
        <f t="shared" si="0"/>
        <v>2021</v>
      </c>
      <c r="W2" s="2">
        <f t="shared" si="0"/>
        <v>2022</v>
      </c>
      <c r="X2" s="2">
        <f t="shared" si="0"/>
        <v>2023</v>
      </c>
    </row>
    <row r="3" spans="1:25" s="1" customFormat="1" ht="23.25" customHeight="1">
      <c r="A3" s="3" t="s">
        <v>21</v>
      </c>
      <c r="B3" s="4">
        <v>3424</v>
      </c>
      <c r="C3" s="4">
        <v>3129</v>
      </c>
      <c r="D3" s="4">
        <v>1718</v>
      </c>
      <c r="E3" s="4">
        <v>1811</v>
      </c>
      <c r="F3" s="4">
        <v>1766</v>
      </c>
      <c r="G3" s="4">
        <v>1741</v>
      </c>
      <c r="H3" s="4">
        <v>1941.2</v>
      </c>
      <c r="I3" s="4">
        <v>1814</v>
      </c>
      <c r="J3" s="4">
        <v>735</v>
      </c>
      <c r="K3" s="4">
        <v>605.73199999999997</v>
      </c>
      <c r="L3" s="4">
        <v>694</v>
      </c>
      <c r="M3" s="4">
        <v>628</v>
      </c>
      <c r="N3" s="4">
        <v>599</v>
      </c>
      <c r="O3" s="4">
        <v>557.721</v>
      </c>
      <c r="P3" s="4">
        <v>545.41800000000001</v>
      </c>
      <c r="Q3" s="4">
        <v>569</v>
      </c>
      <c r="R3" s="33">
        <v>538.14099999999996</v>
      </c>
      <c r="S3" s="56">
        <f t="shared" ref="S3:X3" si="1">S6/1000*((R4+S4)/2)</f>
        <v>532.8128712871287</v>
      </c>
      <c r="T3" s="56">
        <f t="shared" si="1"/>
        <v>524.54012418568584</v>
      </c>
      <c r="U3" s="56">
        <f t="shared" si="1"/>
        <v>516.3789624232495</v>
      </c>
      <c r="V3" s="56">
        <f t="shared" si="1"/>
        <v>508.32798736327629</v>
      </c>
      <c r="W3" s="56">
        <f t="shared" si="1"/>
        <v>500.38581712632924</v>
      </c>
      <c r="X3" s="56">
        <f t="shared" si="1"/>
        <v>492.55108639536206</v>
      </c>
      <c r="Y3" s="20"/>
    </row>
    <row r="4" spans="1:25" s="1" customFormat="1" ht="15" customHeight="1">
      <c r="A4" s="1" t="s">
        <v>8</v>
      </c>
      <c r="B4" s="4">
        <v>259</v>
      </c>
      <c r="C4" s="4">
        <v>167</v>
      </c>
      <c r="D4" s="4">
        <v>172</v>
      </c>
      <c r="E4" s="4">
        <v>172</v>
      </c>
      <c r="F4" s="4">
        <v>172</v>
      </c>
      <c r="G4" s="4">
        <v>165</v>
      </c>
      <c r="H4" s="4">
        <v>165</v>
      </c>
      <c r="I4" s="4">
        <v>154</v>
      </c>
      <c r="J4" s="4">
        <v>136</v>
      </c>
      <c r="K4" s="4">
        <v>135</v>
      </c>
      <c r="L4" s="4">
        <v>133</v>
      </c>
      <c r="M4" s="4">
        <v>95</v>
      </c>
      <c r="N4" s="4">
        <v>91</v>
      </c>
      <c r="O4" s="4">
        <v>89</v>
      </c>
      <c r="P4" s="4">
        <v>89</v>
      </c>
      <c r="Q4" s="4">
        <v>88</v>
      </c>
      <c r="R4" s="33">
        <v>88</v>
      </c>
      <c r="S4" s="56">
        <f t="shared" ref="S4:X4" si="2">R4+S5</f>
        <v>88</v>
      </c>
      <c r="T4" s="56">
        <f t="shared" si="2"/>
        <v>87</v>
      </c>
      <c r="U4" s="56">
        <f t="shared" si="2"/>
        <v>87</v>
      </c>
      <c r="V4" s="56">
        <f t="shared" si="2"/>
        <v>86</v>
      </c>
      <c r="W4" s="56">
        <f t="shared" si="2"/>
        <v>86</v>
      </c>
      <c r="X4" s="56">
        <f t="shared" si="2"/>
        <v>85</v>
      </c>
      <c r="Y4" s="12"/>
    </row>
    <row r="5" spans="1:25" s="1" customFormat="1" ht="15" customHeight="1">
      <c r="A5" s="1" t="s">
        <v>7</v>
      </c>
      <c r="B5" s="6"/>
      <c r="C5" s="6"/>
      <c r="D5" s="6">
        <f t="shared" ref="D5" si="3">D4-C4</f>
        <v>5</v>
      </c>
      <c r="E5" s="6">
        <f t="shared" ref="E5:K5" si="4">E4-D4</f>
        <v>0</v>
      </c>
      <c r="F5" s="6">
        <f t="shared" si="4"/>
        <v>0</v>
      </c>
      <c r="G5" s="6">
        <f t="shared" si="4"/>
        <v>-7</v>
      </c>
      <c r="H5" s="6">
        <f t="shared" si="4"/>
        <v>0</v>
      </c>
      <c r="I5" s="6">
        <f t="shared" si="4"/>
        <v>-11</v>
      </c>
      <c r="J5" s="6">
        <f t="shared" si="4"/>
        <v>-18</v>
      </c>
      <c r="K5" s="6">
        <f t="shared" si="4"/>
        <v>-1</v>
      </c>
      <c r="L5" s="6">
        <f t="shared" ref="L5" si="5">L4-K4</f>
        <v>-2</v>
      </c>
      <c r="M5" s="6">
        <f t="shared" ref="M5:R5" si="6">M4-L4</f>
        <v>-38</v>
      </c>
      <c r="N5" s="6">
        <f t="shared" si="6"/>
        <v>-4</v>
      </c>
      <c r="O5" s="6">
        <f t="shared" si="6"/>
        <v>-2</v>
      </c>
      <c r="P5" s="6">
        <f t="shared" si="6"/>
        <v>0</v>
      </c>
      <c r="Q5" s="6">
        <f t="shared" si="6"/>
        <v>-1</v>
      </c>
      <c r="R5" s="34">
        <f t="shared" si="6"/>
        <v>0</v>
      </c>
      <c r="S5" s="63">
        <v>0</v>
      </c>
      <c r="T5" s="63">
        <v>-1</v>
      </c>
      <c r="U5" s="63">
        <v>0</v>
      </c>
      <c r="V5" s="63">
        <v>-1</v>
      </c>
      <c r="W5" s="63">
        <v>0</v>
      </c>
      <c r="X5" s="63">
        <v>-1</v>
      </c>
      <c r="Y5" s="4"/>
    </row>
    <row r="6" spans="1:25" s="1" customFormat="1" ht="15" customHeight="1">
      <c r="A6" s="1" t="s">
        <v>6</v>
      </c>
      <c r="B6" s="6"/>
      <c r="C6" s="6"/>
      <c r="D6" s="6">
        <f t="shared" ref="D6" si="7">D3*1000/((C4+D4)/2)</f>
        <v>10135.693215339234</v>
      </c>
      <c r="E6" s="6">
        <f t="shared" ref="E6:K6" si="8">E3*1000/((D4+E4)/2)</f>
        <v>10529.069767441861</v>
      </c>
      <c r="F6" s="6">
        <f t="shared" si="8"/>
        <v>10267.441860465116</v>
      </c>
      <c r="G6" s="6">
        <f t="shared" si="8"/>
        <v>10332.344213649852</v>
      </c>
      <c r="H6" s="6">
        <f t="shared" si="8"/>
        <v>11764.848484848484</v>
      </c>
      <c r="I6" s="6">
        <f t="shared" si="8"/>
        <v>11373.040752351097</v>
      </c>
      <c r="J6" s="6">
        <f t="shared" si="8"/>
        <v>5068.9655172413795</v>
      </c>
      <c r="K6" s="6">
        <f t="shared" si="8"/>
        <v>4470.3468634686351</v>
      </c>
      <c r="L6" s="6">
        <f t="shared" ref="L6" si="9">L3*1000/((K4+L4)/2)</f>
        <v>5179.1044776119406</v>
      </c>
      <c r="M6" s="6">
        <f t="shared" ref="M6:R6" si="10">M3*1000/((L4+M4)/2)</f>
        <v>5508.7719298245611</v>
      </c>
      <c r="N6" s="6">
        <f t="shared" si="10"/>
        <v>6440.8602150537636</v>
      </c>
      <c r="O6" s="6">
        <f t="shared" si="10"/>
        <v>6196.9</v>
      </c>
      <c r="P6" s="6">
        <f t="shared" si="10"/>
        <v>6128.2921348314603</v>
      </c>
      <c r="Q6" s="6">
        <f t="shared" si="10"/>
        <v>6429.3785310734465</v>
      </c>
      <c r="R6" s="34">
        <f t="shared" si="10"/>
        <v>6115.238636363636</v>
      </c>
      <c r="S6" s="56">
        <f t="shared" ref="S6:X6" si="11">R6/1.01</f>
        <v>6054.6917191719167</v>
      </c>
      <c r="T6" s="56">
        <f t="shared" si="11"/>
        <v>5994.7442764078387</v>
      </c>
      <c r="U6" s="56">
        <f t="shared" si="11"/>
        <v>5935.3903726810286</v>
      </c>
      <c r="V6" s="56">
        <f t="shared" si="11"/>
        <v>5876.6241313673554</v>
      </c>
      <c r="W6" s="56">
        <f t="shared" si="11"/>
        <v>5818.4397340270843</v>
      </c>
      <c r="X6" s="56">
        <f t="shared" si="11"/>
        <v>5760.8314198287962</v>
      </c>
      <c r="Y6" s="12"/>
    </row>
    <row r="7" spans="1:25" s="1" customFormat="1" ht="15" customHeight="1">
      <c r="P7" s="2"/>
      <c r="Q7" s="2"/>
      <c r="R7" s="113"/>
      <c r="S7" s="56"/>
      <c r="T7" s="56"/>
      <c r="U7" s="56"/>
      <c r="V7" s="56"/>
      <c r="W7" s="56"/>
      <c r="X7" s="56"/>
    </row>
    <row r="8" spans="1:25" s="1" customFormat="1" ht="15" customHeight="1">
      <c r="A8" s="3" t="s">
        <v>22</v>
      </c>
      <c r="B8" s="4">
        <v>125157</v>
      </c>
      <c r="C8" s="4">
        <v>135046</v>
      </c>
      <c r="D8" s="4">
        <v>129150</v>
      </c>
      <c r="E8" s="4">
        <v>130632</v>
      </c>
      <c r="F8" s="4">
        <v>121938</v>
      </c>
      <c r="G8" s="4">
        <v>116682</v>
      </c>
      <c r="H8" s="4">
        <v>128154.97</v>
      </c>
      <c r="I8" s="4">
        <v>124285</v>
      </c>
      <c r="J8" s="4">
        <v>129237</v>
      </c>
      <c r="K8" s="4">
        <v>118135.705</v>
      </c>
      <c r="L8" s="4">
        <v>128661</v>
      </c>
      <c r="M8" s="4">
        <v>130773</v>
      </c>
      <c r="N8" s="4">
        <v>133279</v>
      </c>
      <c r="O8" s="4">
        <v>138294.84599999999</v>
      </c>
      <c r="P8" s="4">
        <v>139102.65100000001</v>
      </c>
      <c r="Q8" s="4">
        <v>135830</v>
      </c>
      <c r="R8" s="33">
        <v>134032.45300000001</v>
      </c>
      <c r="S8" s="56">
        <f t="shared" ref="S8:X8" si="12">S11/1000*((R9+S9)/2)</f>
        <v>136990.75</v>
      </c>
      <c r="T8" s="56">
        <f t="shared" si="12"/>
        <v>136652.98507462689</v>
      </c>
      <c r="U8" s="56">
        <f t="shared" si="12"/>
        <v>136315.19021806394</v>
      </c>
      <c r="V8" s="56">
        <f t="shared" si="12"/>
        <v>136657.26095888717</v>
      </c>
      <c r="W8" s="56">
        <f t="shared" si="12"/>
        <v>136999.33169971043</v>
      </c>
      <c r="X8" s="56">
        <f t="shared" si="12"/>
        <v>137341.40244053368</v>
      </c>
      <c r="Y8" s="20"/>
    </row>
    <row r="9" spans="1:25" s="1" customFormat="1" ht="15" customHeight="1">
      <c r="A9" s="1" t="s">
        <v>8</v>
      </c>
      <c r="B9" s="4">
        <v>3056</v>
      </c>
      <c r="C9" s="4">
        <v>3151</v>
      </c>
      <c r="D9" s="4">
        <v>3145</v>
      </c>
      <c r="E9" s="4">
        <v>3160</v>
      </c>
      <c r="F9" s="4">
        <v>3173</v>
      </c>
      <c r="G9" s="4">
        <v>3181</v>
      </c>
      <c r="H9" s="4">
        <v>3222</v>
      </c>
      <c r="I9" s="4">
        <v>3322</v>
      </c>
      <c r="J9" s="4">
        <v>3391</v>
      </c>
      <c r="K9" s="4">
        <v>3442</v>
      </c>
      <c r="L9" s="4">
        <v>3518</v>
      </c>
      <c r="M9" s="4">
        <v>3695</v>
      </c>
      <c r="N9" s="4">
        <v>3872</v>
      </c>
      <c r="O9" s="4">
        <v>3907</v>
      </c>
      <c r="P9" s="4">
        <v>3929</v>
      </c>
      <c r="Q9" s="4">
        <v>3952</v>
      </c>
      <c r="R9" s="33">
        <v>3960</v>
      </c>
      <c r="S9" s="56">
        <f t="shared" ref="S9:X9" si="13">+R9+S10</f>
        <v>3970</v>
      </c>
      <c r="T9" s="56">
        <f t="shared" si="13"/>
        <v>3980</v>
      </c>
      <c r="U9" s="56">
        <f t="shared" si="13"/>
        <v>3990</v>
      </c>
      <c r="V9" s="56">
        <f t="shared" si="13"/>
        <v>4000</v>
      </c>
      <c r="W9" s="56">
        <f t="shared" si="13"/>
        <v>4010</v>
      </c>
      <c r="X9" s="56">
        <f t="shared" si="13"/>
        <v>4020</v>
      </c>
      <c r="Y9" s="12"/>
    </row>
    <row r="10" spans="1:25" s="1" customFormat="1" ht="15" customHeight="1">
      <c r="A10" s="1" t="s">
        <v>7</v>
      </c>
      <c r="B10" s="6"/>
      <c r="C10" s="6"/>
      <c r="D10" s="6">
        <f t="shared" ref="D10" si="14">D9-C9</f>
        <v>-6</v>
      </c>
      <c r="E10" s="6">
        <f t="shared" ref="E10:K10" si="15">E9-D9</f>
        <v>15</v>
      </c>
      <c r="F10" s="6">
        <f t="shared" si="15"/>
        <v>13</v>
      </c>
      <c r="G10" s="6">
        <f t="shared" si="15"/>
        <v>8</v>
      </c>
      <c r="H10" s="6">
        <f t="shared" si="15"/>
        <v>41</v>
      </c>
      <c r="I10" s="6">
        <f t="shared" si="15"/>
        <v>100</v>
      </c>
      <c r="J10" s="6">
        <f t="shared" si="15"/>
        <v>69</v>
      </c>
      <c r="K10" s="6">
        <f t="shared" si="15"/>
        <v>51</v>
      </c>
      <c r="L10" s="6">
        <f t="shared" ref="L10" si="16">L9-K9</f>
        <v>76</v>
      </c>
      <c r="M10" s="6">
        <f t="shared" ref="M10:R10" si="17">M9-L9</f>
        <v>177</v>
      </c>
      <c r="N10" s="6">
        <f>N9-M9</f>
        <v>177</v>
      </c>
      <c r="O10" s="6">
        <f t="shared" si="17"/>
        <v>35</v>
      </c>
      <c r="P10" s="6">
        <f t="shared" si="17"/>
        <v>22</v>
      </c>
      <c r="Q10" s="6">
        <f t="shared" si="17"/>
        <v>23</v>
      </c>
      <c r="R10" s="34">
        <f t="shared" si="17"/>
        <v>8</v>
      </c>
      <c r="S10" s="63">
        <v>10</v>
      </c>
      <c r="T10" s="63">
        <v>10</v>
      </c>
      <c r="U10" s="63">
        <v>10</v>
      </c>
      <c r="V10" s="63">
        <v>10</v>
      </c>
      <c r="W10" s="63">
        <v>10</v>
      </c>
      <c r="X10" s="63">
        <v>10</v>
      </c>
      <c r="Y10" s="22"/>
    </row>
    <row r="11" spans="1:25" s="1" customFormat="1" ht="15" customHeight="1">
      <c r="A11" s="1" t="s">
        <v>6</v>
      </c>
      <c r="B11" s="6"/>
      <c r="C11" s="6"/>
      <c r="D11" s="6">
        <f t="shared" ref="D11" si="18">D8*1000/((C9+D9)/2)</f>
        <v>41026.048284625162</v>
      </c>
      <c r="E11" s="6">
        <f t="shared" ref="E11:K11" si="19">E8*1000/((D9+E9)/2)</f>
        <v>41437.589214908803</v>
      </c>
      <c r="F11" s="6">
        <f t="shared" si="19"/>
        <v>38508.763619137848</v>
      </c>
      <c r="G11" s="6">
        <f t="shared" si="19"/>
        <v>36727.101038715773</v>
      </c>
      <c r="H11" s="6">
        <f t="shared" si="19"/>
        <v>40029.66421989692</v>
      </c>
      <c r="I11" s="6">
        <f t="shared" si="19"/>
        <v>37984.413202933989</v>
      </c>
      <c r="J11" s="6">
        <f t="shared" si="19"/>
        <v>38503.500670341127</v>
      </c>
      <c r="K11" s="6">
        <f t="shared" si="19"/>
        <v>34577.990633689449</v>
      </c>
      <c r="L11" s="6">
        <f t="shared" ref="L11" si="20">L8*1000/((K9+L9)/2)</f>
        <v>36971.551724137928</v>
      </c>
      <c r="M11" s="6">
        <f t="shared" ref="M11:P11" si="21">M8*1000/((L9+M9)/2)</f>
        <v>36260.363233051437</v>
      </c>
      <c r="N11" s="6">
        <f t="shared" si="21"/>
        <v>35226.377692612659</v>
      </c>
      <c r="O11" s="6">
        <f t="shared" si="21"/>
        <v>35555.944465869652</v>
      </c>
      <c r="P11" s="6">
        <f t="shared" si="21"/>
        <v>35503.484175599799</v>
      </c>
      <c r="Q11" s="6">
        <f>(Q8*1000-79081)/((P9))</f>
        <v>34551.010180707563</v>
      </c>
      <c r="R11" s="34">
        <f>(R8*1000-79081)/((Q9))</f>
        <v>33895.084008097168</v>
      </c>
      <c r="S11" s="63">
        <v>34550</v>
      </c>
      <c r="T11" s="111">
        <f>S11/1.005</f>
        <v>34378.109452736324</v>
      </c>
      <c r="U11" s="111">
        <f>T11/1.005</f>
        <v>34207.074082324703</v>
      </c>
      <c r="V11" s="94">
        <f>U11</f>
        <v>34207.074082324703</v>
      </c>
      <c r="W11" s="94">
        <f t="shared" ref="W11:X11" si="22">V11</f>
        <v>34207.074082324703</v>
      </c>
      <c r="X11" s="94">
        <f t="shared" si="22"/>
        <v>34207.074082324703</v>
      </c>
      <c r="Y11" s="5"/>
    </row>
    <row r="12" spans="1:25" s="1" customFormat="1" ht="15" customHeight="1"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5"/>
      <c r="N12" s="5"/>
      <c r="O12" s="5"/>
      <c r="P12" s="5"/>
      <c r="Q12" s="5"/>
      <c r="R12" s="36"/>
      <c r="S12" s="63"/>
      <c r="T12" s="63"/>
      <c r="U12" s="63"/>
      <c r="V12" s="63"/>
      <c r="W12" s="63"/>
      <c r="X12" s="63"/>
    </row>
    <row r="13" spans="1:25" s="1" customFormat="1" ht="15" customHeight="1">
      <c r="A13" s="1" t="s">
        <v>28</v>
      </c>
      <c r="B13" s="6">
        <f t="shared" ref="B13:B14" si="23">+B3+B8</f>
        <v>128581</v>
      </c>
      <c r="C13" s="6">
        <f t="shared" ref="C13:S13" si="24">+C3+C8</f>
        <v>138175</v>
      </c>
      <c r="D13" s="6">
        <f t="shared" si="24"/>
        <v>130868</v>
      </c>
      <c r="E13" s="6">
        <f t="shared" ref="E13:K14" si="25">+E3+E8</f>
        <v>132443</v>
      </c>
      <c r="F13" s="6">
        <f t="shared" si="25"/>
        <v>123704</v>
      </c>
      <c r="G13" s="6">
        <f t="shared" si="25"/>
        <v>118423</v>
      </c>
      <c r="H13" s="6">
        <f t="shared" si="25"/>
        <v>130096.17</v>
      </c>
      <c r="I13" s="6">
        <f t="shared" si="25"/>
        <v>126099</v>
      </c>
      <c r="J13" s="6">
        <f t="shared" si="25"/>
        <v>129972</v>
      </c>
      <c r="K13" s="6">
        <f t="shared" si="25"/>
        <v>118741.43700000001</v>
      </c>
      <c r="L13" s="6">
        <f t="shared" ref="L13:M13" si="26">+L3+L8</f>
        <v>129355</v>
      </c>
      <c r="M13" s="6">
        <f t="shared" si="26"/>
        <v>131401</v>
      </c>
      <c r="N13" s="6">
        <f t="shared" ref="N13:O13" si="27">+N3+N8</f>
        <v>133878</v>
      </c>
      <c r="O13" s="6">
        <f t="shared" si="27"/>
        <v>138852.56699999998</v>
      </c>
      <c r="P13" s="6">
        <f t="shared" ref="P13:Q13" si="28">+P3+P8</f>
        <v>139648.06900000002</v>
      </c>
      <c r="Q13" s="6">
        <f t="shared" si="28"/>
        <v>136399</v>
      </c>
      <c r="R13" s="34">
        <f t="shared" ref="R13" si="29">+R3+R8</f>
        <v>134570.59400000001</v>
      </c>
      <c r="S13" s="56">
        <f t="shared" si="24"/>
        <v>137523.56287128714</v>
      </c>
      <c r="T13" s="56">
        <f t="shared" ref="T13:V14" si="30">+T3+T8</f>
        <v>137177.52519881257</v>
      </c>
      <c r="U13" s="56">
        <f t="shared" si="30"/>
        <v>136831.56918048719</v>
      </c>
      <c r="V13" s="56">
        <f t="shared" si="30"/>
        <v>137165.58894625044</v>
      </c>
      <c r="W13" s="56">
        <f t="shared" ref="W13:X13" si="31">+W3+W8</f>
        <v>137499.71751683677</v>
      </c>
      <c r="X13" s="56">
        <f t="shared" si="31"/>
        <v>137833.95352692905</v>
      </c>
      <c r="Y13" s="20"/>
    </row>
    <row r="14" spans="1:25" s="1" customFormat="1" ht="15" customHeight="1">
      <c r="A14" s="1" t="s">
        <v>8</v>
      </c>
      <c r="B14" s="6">
        <f t="shared" si="23"/>
        <v>3315</v>
      </c>
      <c r="C14" s="6">
        <f t="shared" ref="C14:S14" si="32">+C4+C9</f>
        <v>3318</v>
      </c>
      <c r="D14" s="6">
        <f t="shared" si="32"/>
        <v>3317</v>
      </c>
      <c r="E14" s="6">
        <f t="shared" si="25"/>
        <v>3332</v>
      </c>
      <c r="F14" s="6">
        <f t="shared" si="25"/>
        <v>3345</v>
      </c>
      <c r="G14" s="6">
        <f t="shared" si="25"/>
        <v>3346</v>
      </c>
      <c r="H14" s="6">
        <f t="shared" si="25"/>
        <v>3387</v>
      </c>
      <c r="I14" s="6">
        <f t="shared" si="25"/>
        <v>3476</v>
      </c>
      <c r="J14" s="6">
        <f t="shared" si="25"/>
        <v>3527</v>
      </c>
      <c r="K14" s="6">
        <f t="shared" si="25"/>
        <v>3577</v>
      </c>
      <c r="L14" s="6">
        <f t="shared" ref="L14:M14" si="33">+L4+L9</f>
        <v>3651</v>
      </c>
      <c r="M14" s="6">
        <f t="shared" si="33"/>
        <v>3790</v>
      </c>
      <c r="N14" s="6">
        <f t="shared" ref="N14:O14" si="34">+N4+N9</f>
        <v>3963</v>
      </c>
      <c r="O14" s="6">
        <f t="shared" si="34"/>
        <v>3996</v>
      </c>
      <c r="P14" s="6">
        <f t="shared" ref="P14:Q14" si="35">+P4+P9</f>
        <v>4018</v>
      </c>
      <c r="Q14" s="6">
        <f t="shared" si="35"/>
        <v>4040</v>
      </c>
      <c r="R14" s="34">
        <f t="shared" ref="R14" si="36">+R4+R9</f>
        <v>4048</v>
      </c>
      <c r="S14" s="56">
        <f t="shared" si="32"/>
        <v>4058</v>
      </c>
      <c r="T14" s="56">
        <f t="shared" si="30"/>
        <v>4067</v>
      </c>
      <c r="U14" s="56">
        <f t="shared" si="30"/>
        <v>4077</v>
      </c>
      <c r="V14" s="56">
        <f t="shared" si="30"/>
        <v>4086</v>
      </c>
      <c r="W14" s="56">
        <f t="shared" ref="W14:X14" si="37">+W4+W9</f>
        <v>4096</v>
      </c>
      <c r="X14" s="56">
        <f t="shared" si="37"/>
        <v>4105</v>
      </c>
      <c r="Y14" s="12"/>
    </row>
    <row r="15" spans="1:25" s="1" customFormat="1" ht="15" customHeight="1">
      <c r="A15" s="1" t="s">
        <v>7</v>
      </c>
      <c r="B15" s="6"/>
      <c r="C15" s="6"/>
      <c r="D15" s="6">
        <f t="shared" ref="D15" si="38">D14-C14</f>
        <v>-1</v>
      </c>
      <c r="E15" s="6">
        <f t="shared" ref="E15:K15" si="39">E14-D14</f>
        <v>15</v>
      </c>
      <c r="F15" s="6">
        <f t="shared" si="39"/>
        <v>13</v>
      </c>
      <c r="G15" s="6">
        <f t="shared" si="39"/>
        <v>1</v>
      </c>
      <c r="H15" s="6">
        <f t="shared" si="39"/>
        <v>41</v>
      </c>
      <c r="I15" s="6">
        <f t="shared" si="39"/>
        <v>89</v>
      </c>
      <c r="J15" s="6">
        <f t="shared" si="39"/>
        <v>51</v>
      </c>
      <c r="K15" s="6">
        <f t="shared" si="39"/>
        <v>50</v>
      </c>
      <c r="L15" s="6">
        <f t="shared" ref="L15" si="40">L14-K14</f>
        <v>74</v>
      </c>
      <c r="M15" s="6">
        <f t="shared" ref="M15:R15" si="41">M14-L14</f>
        <v>139</v>
      </c>
      <c r="N15" s="6">
        <f t="shared" si="41"/>
        <v>173</v>
      </c>
      <c r="O15" s="6">
        <f t="shared" si="41"/>
        <v>33</v>
      </c>
      <c r="P15" s="6">
        <f t="shared" si="41"/>
        <v>22</v>
      </c>
      <c r="Q15" s="6">
        <f t="shared" si="41"/>
        <v>22</v>
      </c>
      <c r="R15" s="34">
        <f t="shared" si="41"/>
        <v>8</v>
      </c>
      <c r="S15" s="90">
        <f t="shared" ref="S15" si="42">S14-R14</f>
        <v>10</v>
      </c>
      <c r="T15" s="90">
        <f t="shared" ref="T15:X15" si="43">T14-S14</f>
        <v>9</v>
      </c>
      <c r="U15" s="90">
        <f t="shared" si="43"/>
        <v>10</v>
      </c>
      <c r="V15" s="90">
        <f t="shared" si="43"/>
        <v>9</v>
      </c>
      <c r="W15" s="90">
        <f t="shared" si="43"/>
        <v>10</v>
      </c>
      <c r="X15" s="90">
        <f t="shared" si="43"/>
        <v>9</v>
      </c>
      <c r="Y15" s="12"/>
    </row>
    <row r="16" spans="1:25" s="1" customFormat="1" ht="15" customHeight="1">
      <c r="A16" s="1" t="s">
        <v>6</v>
      </c>
      <c r="B16" s="6"/>
      <c r="C16" s="6"/>
      <c r="D16" s="6">
        <f t="shared" ref="D16:X16" si="44">D13*1000/((C14+D14)/2)</f>
        <v>39447.776940467222</v>
      </c>
      <c r="E16" s="6">
        <f t="shared" ref="E16:K16" si="45">E13*1000/((D14+E14)/2)</f>
        <v>39838.471950669271</v>
      </c>
      <c r="F16" s="6">
        <f t="shared" si="45"/>
        <v>37053.766661674403</v>
      </c>
      <c r="G16" s="6">
        <f t="shared" si="45"/>
        <v>35397.698400836947</v>
      </c>
      <c r="H16" s="6">
        <f t="shared" si="45"/>
        <v>38644.33981880291</v>
      </c>
      <c r="I16" s="6">
        <f t="shared" si="45"/>
        <v>36747.486521929182</v>
      </c>
      <c r="J16" s="6">
        <f t="shared" si="45"/>
        <v>37118.94902184778</v>
      </c>
      <c r="K16" s="6">
        <f t="shared" si="45"/>
        <v>33429.458614864867</v>
      </c>
      <c r="L16" s="6">
        <f t="shared" ref="L16" si="46">L13*1000/((K14+L14)/2)</f>
        <v>35792.750415052571</v>
      </c>
      <c r="M16" s="6">
        <f t="shared" ref="M16:R16" si="47">M13*1000/((L14+M14)/2)</f>
        <v>35318.102405590646</v>
      </c>
      <c r="N16" s="6">
        <f t="shared" si="47"/>
        <v>34535.792596414292</v>
      </c>
      <c r="O16" s="6">
        <f t="shared" si="47"/>
        <v>34891.963060686008</v>
      </c>
      <c r="P16" s="6">
        <f t="shared" si="47"/>
        <v>34851.027951085605</v>
      </c>
      <c r="Q16" s="6">
        <f t="shared" si="47"/>
        <v>33854.306279473814</v>
      </c>
      <c r="R16" s="34">
        <f t="shared" si="47"/>
        <v>33276.605835806135</v>
      </c>
      <c r="S16" s="56">
        <f t="shared" si="44"/>
        <v>33931.300979838918</v>
      </c>
      <c r="T16" s="56">
        <f t="shared" si="44"/>
        <v>33766.775433553863</v>
      </c>
      <c r="U16" s="56">
        <f t="shared" si="44"/>
        <v>33603.037617997834</v>
      </c>
      <c r="V16" s="56">
        <f t="shared" si="44"/>
        <v>33606.661508330377</v>
      </c>
      <c r="W16" s="56">
        <f t="shared" si="44"/>
        <v>33610.295164223113</v>
      </c>
      <c r="X16" s="56">
        <f t="shared" si="44"/>
        <v>33613.938184838204</v>
      </c>
      <c r="Y16" s="12"/>
    </row>
    <row r="17" spans="1:25" s="1" customFormat="1" ht="15" customHeight="1">
      <c r="B17" s="4"/>
      <c r="C17" s="4"/>
      <c r="D17" s="84"/>
      <c r="E17" s="84"/>
      <c r="F17" s="84"/>
      <c r="G17" s="84"/>
      <c r="H17" s="4"/>
      <c r="I17" s="4"/>
      <c r="J17" s="4"/>
      <c r="K17" s="5"/>
      <c r="L17" s="5"/>
      <c r="M17" s="5"/>
      <c r="N17" s="5"/>
      <c r="O17" s="5"/>
      <c r="P17" s="4"/>
      <c r="Q17" s="4"/>
      <c r="R17" s="36"/>
      <c r="S17" s="63"/>
      <c r="T17" s="63"/>
      <c r="U17" s="63"/>
      <c r="V17" s="63"/>
      <c r="W17" s="63"/>
      <c r="X17" s="63"/>
    </row>
    <row r="18" spans="1:25" s="1" customFormat="1" ht="15" customHeight="1">
      <c r="A18" s="3" t="s">
        <v>23</v>
      </c>
      <c r="B18" s="4"/>
      <c r="C18" s="4">
        <v>1004</v>
      </c>
      <c r="D18" s="4">
        <v>939</v>
      </c>
      <c r="E18" s="4">
        <v>978</v>
      </c>
      <c r="F18" s="4">
        <v>875</v>
      </c>
      <c r="G18" s="4">
        <v>805</v>
      </c>
      <c r="H18" s="4">
        <v>886.32</v>
      </c>
      <c r="I18" s="4">
        <v>1076</v>
      </c>
      <c r="J18" s="4">
        <v>1211</v>
      </c>
      <c r="K18" s="4">
        <v>1154.0219999999999</v>
      </c>
      <c r="L18" s="4">
        <v>1373</v>
      </c>
      <c r="M18" s="4">
        <v>1724.895</v>
      </c>
      <c r="N18" s="4">
        <v>1557</v>
      </c>
      <c r="O18" s="4">
        <v>1512.788</v>
      </c>
      <c r="P18" s="4">
        <v>1415.0920000000001</v>
      </c>
      <c r="Q18" s="4">
        <v>1222</v>
      </c>
      <c r="R18" s="33">
        <v>1574.165</v>
      </c>
      <c r="S18" s="56">
        <f>AVERAGE($M20:$Q20)*'Small GS'!T$10</f>
        <v>1490.703753931441</v>
      </c>
      <c r="T18" s="56">
        <f>AVERAGE($M20:$Q20)*'Small GS'!U$10</f>
        <v>1503.7040773668898</v>
      </c>
      <c r="U18" s="56">
        <f>AVERAGE($M20:$Q20)*'Small GS'!V$10</f>
        <v>1516.7044008023383</v>
      </c>
      <c r="V18" s="56">
        <f>AVERAGE($M20:$Q20)*'Small GS'!W$10</f>
        <v>1529.7047242377869</v>
      </c>
      <c r="W18" s="56">
        <f>AVERAGE($M20:$Q20)*'Small GS'!X$10</f>
        <v>1542.7050476732354</v>
      </c>
      <c r="X18" s="56">
        <f>AVERAGE($M20:$Q20)*'Small GS'!Y$10</f>
        <v>1555.7053711086842</v>
      </c>
      <c r="Y18" s="20"/>
    </row>
    <row r="19" spans="1:25" s="1" customFormat="1" ht="15" customHeight="1">
      <c r="A19" s="1" t="s">
        <v>0</v>
      </c>
      <c r="B19" s="4"/>
      <c r="C19" s="4">
        <v>102</v>
      </c>
      <c r="D19" s="4">
        <v>102</v>
      </c>
      <c r="E19" s="4">
        <v>101</v>
      </c>
      <c r="F19" s="4">
        <v>96</v>
      </c>
      <c r="G19" s="4">
        <v>74</v>
      </c>
      <c r="H19" s="4">
        <v>81</v>
      </c>
      <c r="I19" s="4">
        <v>89</v>
      </c>
      <c r="J19" s="4">
        <v>98</v>
      </c>
      <c r="K19" s="4">
        <v>108</v>
      </c>
      <c r="L19" s="4">
        <v>119</v>
      </c>
      <c r="M19" s="4">
        <v>125</v>
      </c>
      <c r="N19" s="4">
        <v>120</v>
      </c>
      <c r="O19" s="4">
        <v>132</v>
      </c>
      <c r="P19" s="4">
        <v>130</v>
      </c>
      <c r="Q19" s="4">
        <v>131</v>
      </c>
      <c r="R19" s="33">
        <v>138</v>
      </c>
      <c r="S19" s="56">
        <f>MROUND(AVERAGE($Q23:$R23)*'Small GS'!T$11,1)</f>
        <v>137</v>
      </c>
      <c r="T19" s="56">
        <f>MROUND(AVERAGE($Q23:$R23)*'Small GS'!U$11,1)</f>
        <v>138</v>
      </c>
      <c r="U19" s="56">
        <f>MROUND(AVERAGE($Q23:$R23)*'Small GS'!V$11,1)</f>
        <v>139</v>
      </c>
      <c r="V19" s="56">
        <f>MROUND(AVERAGE($Q23:$R23)*'Small GS'!W$11,1)</f>
        <v>140</v>
      </c>
      <c r="W19" s="56">
        <f>MROUND(AVERAGE($Q23:$R23)*'Small GS'!X$11,1)</f>
        <v>141</v>
      </c>
      <c r="X19" s="56">
        <f>MROUND(AVERAGE($Q23:$R23)*'Small GS'!Y$11,1)</f>
        <v>143</v>
      </c>
      <c r="Y19" s="40"/>
    </row>
    <row r="20" spans="1:25" s="1" customFormat="1" ht="15" customHeight="1">
      <c r="B20" s="5"/>
      <c r="C20" s="5"/>
      <c r="D20" s="5"/>
      <c r="E20" s="15"/>
      <c r="F20" s="5"/>
      <c r="G20" s="15"/>
      <c r="H20" s="24"/>
      <c r="I20" s="24"/>
      <c r="J20" s="24"/>
      <c r="K20" s="24"/>
      <c r="L20" s="24">
        <f t="shared" ref="L20:R20" si="48">L18/(L18+L21)</f>
        <v>6.5021784428869106E-2</v>
      </c>
      <c r="M20" s="24">
        <f t="shared" si="48"/>
        <v>7.5940343973905575E-2</v>
      </c>
      <c r="N20" s="24">
        <f t="shared" si="48"/>
        <v>6.9092522742400714E-2</v>
      </c>
      <c r="O20" s="24">
        <f t="shared" si="48"/>
        <v>6.9435125079456525E-2</v>
      </c>
      <c r="P20" s="24">
        <f t="shared" si="48"/>
        <v>6.4852452846739059E-2</v>
      </c>
      <c r="Q20" s="24">
        <f t="shared" si="48"/>
        <v>5.634192447784591E-2</v>
      </c>
      <c r="R20" s="73">
        <f t="shared" si="48"/>
        <v>7.348058406740085E-2</v>
      </c>
      <c r="S20" s="63"/>
      <c r="T20" s="63"/>
      <c r="U20" s="63"/>
      <c r="V20" s="63"/>
      <c r="W20" s="63"/>
      <c r="X20" s="63"/>
      <c r="Y20" s="40"/>
    </row>
    <row r="21" spans="1:25" s="1" customFormat="1" ht="15" customHeight="1">
      <c r="A21" s="3" t="s">
        <v>24</v>
      </c>
      <c r="B21" s="4"/>
      <c r="C21" s="4">
        <v>17179</v>
      </c>
      <c r="D21" s="4">
        <v>17345</v>
      </c>
      <c r="E21" s="4">
        <v>18762</v>
      </c>
      <c r="F21" s="4">
        <v>18226</v>
      </c>
      <c r="G21" s="4">
        <v>17890</v>
      </c>
      <c r="H21" s="4">
        <v>18912.990000000002</v>
      </c>
      <c r="I21" s="4">
        <v>19603</v>
      </c>
      <c r="J21" s="4">
        <f>19545.152-60.36-37.8</f>
        <v>19446.991999999998</v>
      </c>
      <c r="K21" s="4">
        <v>18825.68</v>
      </c>
      <c r="L21" s="4">
        <v>19743</v>
      </c>
      <c r="M21" s="4">
        <v>20988.920999999998</v>
      </c>
      <c r="N21" s="4">
        <v>20978</v>
      </c>
      <c r="O21" s="4">
        <v>20274.282999999999</v>
      </c>
      <c r="P21" s="4">
        <v>20405.084999999999</v>
      </c>
      <c r="Q21" s="4">
        <v>20467</v>
      </c>
      <c r="R21" s="33">
        <v>19848.705000000002</v>
      </c>
      <c r="S21" s="56">
        <f>(1-AVERAGE($M20:$Q20))*'Small GS'!T$10</f>
        <v>20714.701007973323</v>
      </c>
      <c r="T21" s="56">
        <f>(1-AVERAGE($M20:$Q20))*'Small GS'!U$10</f>
        <v>20895.352470252161</v>
      </c>
      <c r="U21" s="56">
        <f>(1-AVERAGE($M20:$Q20))*'Small GS'!V$10</f>
        <v>21076.003932530999</v>
      </c>
      <c r="V21" s="56">
        <f>(1-AVERAGE($M20:$Q20))*'Small GS'!W$10</f>
        <v>21256.655394809834</v>
      </c>
      <c r="W21" s="56">
        <f>(1-AVERAGE($M20:$Q20))*'Small GS'!X$10</f>
        <v>21437.306857088672</v>
      </c>
      <c r="X21" s="56">
        <f>(1-AVERAGE($M20:$Q20))*'Small GS'!Y$10</f>
        <v>21617.95831936751</v>
      </c>
      <c r="Y21" s="20"/>
    </row>
    <row r="22" spans="1:25" s="1" customFormat="1" ht="15" customHeight="1">
      <c r="A22" s="1" t="s">
        <v>0</v>
      </c>
      <c r="B22" s="4"/>
      <c r="C22" s="4">
        <v>182</v>
      </c>
      <c r="D22" s="4">
        <v>185</v>
      </c>
      <c r="E22" s="4">
        <v>176</v>
      </c>
      <c r="F22" s="4">
        <v>182</v>
      </c>
      <c r="G22" s="4">
        <v>192</v>
      </c>
      <c r="H22" s="4">
        <v>193</v>
      </c>
      <c r="I22" s="4">
        <v>203</v>
      </c>
      <c r="J22" s="4">
        <v>200</v>
      </c>
      <c r="K22" s="4">
        <v>198</v>
      </c>
      <c r="L22" s="4">
        <v>202</v>
      </c>
      <c r="M22" s="4">
        <v>201</v>
      </c>
      <c r="N22" s="4">
        <v>209</v>
      </c>
      <c r="O22" s="4">
        <v>191</v>
      </c>
      <c r="P22" s="4">
        <v>202</v>
      </c>
      <c r="Q22" s="4">
        <v>205</v>
      </c>
      <c r="R22" s="33">
        <v>203</v>
      </c>
      <c r="S22" s="56">
        <f>MROUND((1-AVERAGE($Q23:$R23))*'Small GS'!T$11,1)</f>
        <v>207</v>
      </c>
      <c r="T22" s="56">
        <f>MROUND((1-AVERAGE($Q23:$R23))*'Small GS'!U$11,1)</f>
        <v>209</v>
      </c>
      <c r="U22" s="56">
        <f>MROUND((1-AVERAGE($Q23:$R23))*'Small GS'!V$11,1)</f>
        <v>211</v>
      </c>
      <c r="V22" s="56">
        <f>MROUND((1-AVERAGE($Q23:$R23))*'Small GS'!W$11,1)</f>
        <v>213</v>
      </c>
      <c r="W22" s="56">
        <f>MROUND((1-AVERAGE($Q23:$R23))*'Small GS'!X$11,1)</f>
        <v>215</v>
      </c>
      <c r="X22" s="56">
        <f>MROUND((1-AVERAGE($Q23:$R23))*'Small GS'!Y$11,1)</f>
        <v>216</v>
      </c>
      <c r="Y22" s="40"/>
    </row>
    <row r="23" spans="1:25" s="1" customFormat="1" ht="15" customHeight="1">
      <c r="B23" s="6"/>
      <c r="C23" s="6"/>
      <c r="D23" s="6"/>
      <c r="E23" s="6"/>
      <c r="F23" s="6"/>
      <c r="G23" s="6"/>
      <c r="H23" s="6"/>
      <c r="I23" s="6"/>
      <c r="J23" s="6"/>
      <c r="K23" s="5"/>
      <c r="L23" s="25">
        <f t="shared" ref="L23:R23" si="49">L19/(L19+L22)</f>
        <v>0.37071651090342678</v>
      </c>
      <c r="M23" s="25">
        <f t="shared" si="49"/>
        <v>0.3834355828220859</v>
      </c>
      <c r="N23" s="25">
        <f t="shared" si="49"/>
        <v>0.36474164133738601</v>
      </c>
      <c r="O23" s="25">
        <f t="shared" si="49"/>
        <v>0.4086687306501548</v>
      </c>
      <c r="P23" s="25">
        <f t="shared" si="49"/>
        <v>0.39156626506024095</v>
      </c>
      <c r="Q23" s="25">
        <f t="shared" si="49"/>
        <v>0.38988095238095238</v>
      </c>
      <c r="R23" s="151">
        <f t="shared" si="49"/>
        <v>0.40469208211143692</v>
      </c>
      <c r="S23" s="63"/>
      <c r="T23" s="63"/>
      <c r="U23" s="63"/>
      <c r="V23" s="63"/>
      <c r="W23" s="63"/>
      <c r="X23" s="63"/>
      <c r="Y23" s="40"/>
    </row>
    <row r="24" spans="1:25" s="1" customFormat="1" ht="15" customHeight="1">
      <c r="A24" s="3" t="s">
        <v>25</v>
      </c>
      <c r="B24" s="4"/>
      <c r="C24" s="4">
        <v>37173</v>
      </c>
      <c r="D24" s="4">
        <v>34915</v>
      </c>
      <c r="E24" s="4">
        <v>37126</v>
      </c>
      <c r="F24" s="4">
        <v>34489</v>
      </c>
      <c r="G24" s="4">
        <v>35881</v>
      </c>
      <c r="H24" s="4">
        <v>39215.699999999997</v>
      </c>
      <c r="I24" s="4">
        <v>39945</v>
      </c>
      <c r="J24" s="4">
        <f>40403.396+60.36+37.8</f>
        <v>40501.556000000004</v>
      </c>
      <c r="K24" s="4">
        <v>37811.457000000002</v>
      </c>
      <c r="L24" s="4">
        <f>49112+1016-5244</f>
        <v>44884</v>
      </c>
      <c r="M24" s="4">
        <v>53976.196000000004</v>
      </c>
      <c r="N24" s="4">
        <v>51331</v>
      </c>
      <c r="O24" s="4">
        <v>58518.821000000004</v>
      </c>
      <c r="P24" s="4">
        <v>53707.824999999997</v>
      </c>
      <c r="Q24" s="4">
        <v>48718</v>
      </c>
      <c r="R24" s="77">
        <v>51436.133000000002</v>
      </c>
      <c r="S24" s="111">
        <f>S25*AVERAGE($N26:$R26)</f>
        <v>50914.280844529676</v>
      </c>
      <c r="T24" s="111">
        <f>T25*AVERAGE($N26:$R26)</f>
        <v>51663.020268713939</v>
      </c>
      <c r="U24" s="111">
        <f t="shared" ref="U24:X24" si="50">U25*AVERAGE($N26:$R26)</f>
        <v>51663.020268713939</v>
      </c>
      <c r="V24" s="111">
        <f t="shared" si="50"/>
        <v>51663.020268713939</v>
      </c>
      <c r="W24" s="111">
        <f t="shared" si="50"/>
        <v>51663.020268713939</v>
      </c>
      <c r="X24" s="111">
        <f t="shared" si="50"/>
        <v>51663.020268713939</v>
      </c>
      <c r="Y24" s="40"/>
    </row>
    <row r="25" spans="1:25" s="1" customFormat="1" ht="15" customHeight="1">
      <c r="A25" s="1" t="s">
        <v>0</v>
      </c>
      <c r="B25" s="4"/>
      <c r="C25" s="4">
        <v>46</v>
      </c>
      <c r="D25" s="4">
        <v>44</v>
      </c>
      <c r="E25" s="4">
        <v>48</v>
      </c>
      <c r="F25" s="4">
        <v>45</v>
      </c>
      <c r="G25" s="4">
        <v>48</v>
      </c>
      <c r="H25" s="4">
        <v>47</v>
      </c>
      <c r="I25" s="4">
        <v>53</v>
      </c>
      <c r="J25" s="4">
        <v>52</v>
      </c>
      <c r="K25" s="4">
        <v>55</v>
      </c>
      <c r="L25" s="4">
        <v>62</v>
      </c>
      <c r="M25" s="4">
        <v>67</v>
      </c>
      <c r="N25" s="4">
        <v>68</v>
      </c>
      <c r="O25" s="4">
        <v>75</v>
      </c>
      <c r="P25" s="4">
        <v>73</v>
      </c>
      <c r="Q25" s="4">
        <v>68</v>
      </c>
      <c r="R25" s="77">
        <v>68</v>
      </c>
      <c r="S25" s="111">
        <v>68</v>
      </c>
      <c r="T25" s="111">
        <v>69</v>
      </c>
      <c r="U25" s="111">
        <v>69</v>
      </c>
      <c r="V25" s="111">
        <v>69</v>
      </c>
      <c r="W25" s="111">
        <v>69</v>
      </c>
      <c r="X25" s="111">
        <v>69</v>
      </c>
      <c r="Y25" s="40"/>
    </row>
    <row r="26" spans="1:25" s="1" customFormat="1" ht="15" customHeight="1">
      <c r="B26" s="6"/>
      <c r="C26" s="6"/>
      <c r="D26" s="6"/>
      <c r="E26" s="6"/>
      <c r="F26" s="6"/>
      <c r="G26" s="6"/>
      <c r="H26" s="85"/>
      <c r="I26" s="134">
        <f t="shared" ref="I26:M26" si="51">+I24/I25</f>
        <v>753.67924528301887</v>
      </c>
      <c r="J26" s="134">
        <f t="shared" si="51"/>
        <v>778.87607692307699</v>
      </c>
      <c r="K26" s="134">
        <f t="shared" si="51"/>
        <v>687.48103636363635</v>
      </c>
      <c r="L26" s="134">
        <f t="shared" ref="L26" si="52">+L24/L25</f>
        <v>723.93548387096769</v>
      </c>
      <c r="M26" s="134">
        <f t="shared" si="51"/>
        <v>805.61486567164184</v>
      </c>
      <c r="N26" s="134">
        <f t="shared" ref="N26:R26" si="53">+N24/N25</f>
        <v>754.86764705882354</v>
      </c>
      <c r="O26" s="134">
        <f t="shared" si="53"/>
        <v>780.25094666666666</v>
      </c>
      <c r="P26" s="134">
        <f t="shared" si="53"/>
        <v>735.72363013698623</v>
      </c>
      <c r="Q26" s="134">
        <f t="shared" si="53"/>
        <v>716.44117647058829</v>
      </c>
      <c r="R26" s="164">
        <f t="shared" si="53"/>
        <v>756.41372058823526</v>
      </c>
      <c r="S26" s="71"/>
      <c r="T26" s="170"/>
      <c r="U26" s="170"/>
      <c r="V26" s="171"/>
      <c r="W26" s="171"/>
      <c r="X26" s="171"/>
      <c r="Y26" s="40"/>
    </row>
    <row r="27" spans="1:25" s="1" customFormat="1" ht="18.75" customHeight="1">
      <c r="A27" s="3" t="s">
        <v>26</v>
      </c>
      <c r="B27" s="4"/>
      <c r="C27" s="4">
        <v>9665</v>
      </c>
      <c r="D27" s="4">
        <v>8946</v>
      </c>
      <c r="E27" s="4">
        <v>5453</v>
      </c>
      <c r="F27" s="4">
        <v>8192</v>
      </c>
      <c r="G27" s="4">
        <v>6280</v>
      </c>
      <c r="H27" s="4">
        <v>2629</v>
      </c>
      <c r="I27" s="4">
        <v>4231</v>
      </c>
      <c r="J27" s="4">
        <v>4495</v>
      </c>
      <c r="K27" s="4">
        <v>4713.84</v>
      </c>
      <c r="L27" s="4">
        <v>5244</v>
      </c>
      <c r="M27" s="4">
        <v>0</v>
      </c>
      <c r="N27" s="4">
        <v>2005</v>
      </c>
      <c r="O27" s="4">
        <v>1417.8</v>
      </c>
      <c r="P27" s="4">
        <v>0</v>
      </c>
      <c r="Q27" s="43">
        <v>662</v>
      </c>
      <c r="R27" s="77">
        <v>26476.799999999999</v>
      </c>
      <c r="S27" s="56">
        <f>(5+4.2)*0.98*0.75*8760*0.9</f>
        <v>53311.608</v>
      </c>
      <c r="T27" s="56">
        <f>(5+4.2)*0.98*0.8*8760*0.9</f>
        <v>56865.715200000006</v>
      </c>
      <c r="U27" s="56">
        <f>((5+4.2)*0.98*0.85*8760*0.9)+(1*8760*0.9)</f>
        <v>68303.822400000005</v>
      </c>
      <c r="V27" s="56">
        <f t="shared" ref="V27:X27" si="54">((5+4.2)*0.98*0.85*8760*0.9)+(1*8760*0.9)</f>
        <v>68303.822400000005</v>
      </c>
      <c r="W27" s="56">
        <f t="shared" si="54"/>
        <v>68303.822400000005</v>
      </c>
      <c r="X27" s="56">
        <f t="shared" si="54"/>
        <v>68303.822400000005</v>
      </c>
      <c r="Y27" s="163"/>
    </row>
    <row r="28" spans="1:25" s="1" customFormat="1" ht="15" customHeight="1">
      <c r="A28" s="1" t="s">
        <v>0</v>
      </c>
      <c r="B28" s="4"/>
      <c r="C28" s="4">
        <v>2</v>
      </c>
      <c r="D28" s="4">
        <v>2</v>
      </c>
      <c r="E28" s="4">
        <v>1</v>
      </c>
      <c r="F28" s="4">
        <v>2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0</v>
      </c>
      <c r="N28" s="4">
        <v>1</v>
      </c>
      <c r="O28" s="4">
        <v>0</v>
      </c>
      <c r="P28" s="4">
        <v>0</v>
      </c>
      <c r="Q28" s="43">
        <v>1</v>
      </c>
      <c r="R28" s="77">
        <v>1</v>
      </c>
      <c r="S28" s="56">
        <v>2</v>
      </c>
      <c r="T28" s="56">
        <v>2</v>
      </c>
      <c r="U28" s="56">
        <v>3</v>
      </c>
      <c r="V28" s="56">
        <v>3</v>
      </c>
      <c r="W28" s="56">
        <v>3</v>
      </c>
      <c r="X28" s="56">
        <v>3</v>
      </c>
      <c r="Y28" s="40"/>
    </row>
    <row r="29" spans="1:25" s="1" customFormat="1" ht="15" customHeight="1">
      <c r="B29" s="4"/>
      <c r="C29" s="4"/>
      <c r="D29" s="4"/>
      <c r="E29" s="4"/>
      <c r="F29" s="4"/>
      <c r="G29" s="4"/>
      <c r="H29" s="4"/>
      <c r="I29" s="4"/>
      <c r="J29" s="4"/>
      <c r="K29" s="5"/>
      <c r="L29" s="5"/>
      <c r="M29" s="5"/>
      <c r="N29" s="5"/>
      <c r="P29" s="2"/>
      <c r="Q29" s="2"/>
      <c r="R29" s="35"/>
      <c r="S29" s="24"/>
      <c r="T29" s="24"/>
      <c r="U29" s="24"/>
      <c r="V29" s="24"/>
      <c r="W29" s="24"/>
      <c r="X29" s="24"/>
      <c r="Y29" s="40"/>
    </row>
    <row r="30" spans="1:25" s="1" customFormat="1" ht="15" customHeight="1">
      <c r="A30" s="3" t="s">
        <v>15</v>
      </c>
      <c r="B30" s="6">
        <v>58591</v>
      </c>
      <c r="C30" s="6">
        <f t="shared" ref="C30:F31" si="55">SUM(C18,C21,C24,C27)</f>
        <v>65021</v>
      </c>
      <c r="D30" s="6">
        <f t="shared" si="55"/>
        <v>62145</v>
      </c>
      <c r="E30" s="6">
        <f>SUM(E18,E21,E24,E27)</f>
        <v>62319</v>
      </c>
      <c r="F30" s="6">
        <f t="shared" si="55"/>
        <v>61782</v>
      </c>
      <c r="G30" s="6">
        <f t="shared" ref="G30:K31" si="56">SUM(G18,G21,G24,G27)</f>
        <v>60856</v>
      </c>
      <c r="H30" s="6">
        <f t="shared" si="56"/>
        <v>61644.009999999995</v>
      </c>
      <c r="I30" s="6">
        <f t="shared" si="56"/>
        <v>64855</v>
      </c>
      <c r="J30" s="6">
        <f t="shared" si="56"/>
        <v>65654.54800000001</v>
      </c>
      <c r="K30" s="6">
        <f t="shared" si="56"/>
        <v>62504.998999999996</v>
      </c>
      <c r="L30" s="6">
        <f t="shared" ref="L30:M30" si="57">SUM(L18,L21,L24,L27)</f>
        <v>71244</v>
      </c>
      <c r="M30" s="6">
        <f t="shared" si="57"/>
        <v>76690.012000000002</v>
      </c>
      <c r="N30" s="6">
        <f t="shared" ref="N30:O30" si="58">SUM(N18,N21,N24,N27)</f>
        <v>75871</v>
      </c>
      <c r="O30" s="6">
        <f t="shared" si="58"/>
        <v>81723.69200000001</v>
      </c>
      <c r="P30" s="6">
        <f t="shared" ref="P30:Q30" si="59">SUM(P18,P21,P24,P27)</f>
        <v>75528.001999999993</v>
      </c>
      <c r="Q30" s="6">
        <f t="shared" si="59"/>
        <v>71069</v>
      </c>
      <c r="R30" s="34">
        <f t="shared" ref="R30" si="60">SUM(R18,R21,R24,R27)</f>
        <v>99335.803</v>
      </c>
      <c r="S30" s="12">
        <f t="shared" ref="S30" si="61">SUM(S18,S21,S24,S27)</f>
        <v>126431.29360643445</v>
      </c>
      <c r="T30" s="12">
        <f t="shared" ref="T30:V31" si="62">SUM(T18,T21,T24,T27)</f>
        <v>130927.792016333</v>
      </c>
      <c r="U30" s="12">
        <f t="shared" si="62"/>
        <v>142559.55100204729</v>
      </c>
      <c r="V30" s="12">
        <f t="shared" si="62"/>
        <v>142753.20278776158</v>
      </c>
      <c r="W30" s="12">
        <f t="shared" ref="W30:X30" si="63">SUM(W18,W21,W24,W27)</f>
        <v>142946.85457347584</v>
      </c>
      <c r="X30" s="12">
        <f t="shared" si="63"/>
        <v>143140.50635919016</v>
      </c>
      <c r="Y30" s="20"/>
    </row>
    <row r="31" spans="1:25" s="1" customFormat="1" ht="15" customHeight="1">
      <c r="A31" s="3" t="s">
        <v>16</v>
      </c>
      <c r="B31" s="6">
        <v>322</v>
      </c>
      <c r="C31" s="6">
        <f t="shared" si="55"/>
        <v>332</v>
      </c>
      <c r="D31" s="6">
        <f t="shared" si="55"/>
        <v>333</v>
      </c>
      <c r="E31" s="6">
        <f>SUM(E19,E22,E25,E28)</f>
        <v>326</v>
      </c>
      <c r="F31" s="6">
        <f>SUM(F19,F22,F25,F28)</f>
        <v>325</v>
      </c>
      <c r="G31" s="6">
        <f>SUM(G19,G22,G25,G28)</f>
        <v>315</v>
      </c>
      <c r="H31" s="6">
        <f t="shared" si="56"/>
        <v>322</v>
      </c>
      <c r="I31" s="6">
        <f t="shared" si="56"/>
        <v>346</v>
      </c>
      <c r="J31" s="6">
        <f t="shared" si="56"/>
        <v>351</v>
      </c>
      <c r="K31" s="6">
        <f t="shared" si="56"/>
        <v>362</v>
      </c>
      <c r="L31" s="6">
        <f t="shared" ref="L31:M31" si="64">SUM(L19,L22,L25,L28)</f>
        <v>384</v>
      </c>
      <c r="M31" s="6">
        <f t="shared" si="64"/>
        <v>393</v>
      </c>
      <c r="N31" s="6">
        <f t="shared" ref="N31:O31" si="65">SUM(N19,N22,N25,N28)</f>
        <v>398</v>
      </c>
      <c r="O31" s="6">
        <f t="shared" si="65"/>
        <v>398</v>
      </c>
      <c r="P31" s="6">
        <f t="shared" ref="P31:Q31" si="66">SUM(P19,P22,P25,P28)</f>
        <v>405</v>
      </c>
      <c r="Q31" s="6">
        <f t="shared" si="66"/>
        <v>405</v>
      </c>
      <c r="R31" s="34">
        <f t="shared" ref="R31" si="67">SUM(R19,R22,R25,R28)</f>
        <v>410</v>
      </c>
      <c r="S31" s="12">
        <f t="shared" ref="S31" si="68">SUM(S19,S22,S25,S28)</f>
        <v>414</v>
      </c>
      <c r="T31" s="12">
        <f t="shared" si="62"/>
        <v>418</v>
      </c>
      <c r="U31" s="12">
        <f t="shared" si="62"/>
        <v>422</v>
      </c>
      <c r="V31" s="12">
        <f t="shared" si="62"/>
        <v>425</v>
      </c>
      <c r="W31" s="12">
        <f t="shared" ref="W31:X31" si="69">SUM(W19,W22,W25,W28)</f>
        <v>428</v>
      </c>
      <c r="X31" s="12">
        <f t="shared" si="69"/>
        <v>431</v>
      </c>
      <c r="Y31" s="12"/>
    </row>
    <row r="32" spans="1:25" s="1" customFormat="1" ht="15" customHeight="1">
      <c r="B32" s="39"/>
      <c r="C32" s="39"/>
      <c r="D32" s="39"/>
      <c r="E32" s="39"/>
      <c r="F32" s="84"/>
      <c r="G32" s="84"/>
      <c r="H32" s="39"/>
      <c r="I32" s="39"/>
      <c r="J32" s="39"/>
      <c r="K32" s="39"/>
      <c r="L32" s="39"/>
      <c r="M32" s="39"/>
      <c r="N32" s="39"/>
      <c r="O32" s="39"/>
      <c r="P32" s="105"/>
      <c r="Q32" s="121"/>
      <c r="R32" s="123"/>
      <c r="S32" s="39"/>
      <c r="T32" s="39"/>
      <c r="U32" s="39"/>
      <c r="V32" s="39"/>
      <c r="W32" s="39"/>
      <c r="X32" s="39"/>
      <c r="Y32" s="19"/>
    </row>
    <row r="33" spans="1:25" s="1" customFormat="1" ht="15" customHeight="1">
      <c r="B33" s="39"/>
      <c r="C33" s="39"/>
      <c r="D33" s="58"/>
      <c r="E33" s="58"/>
      <c r="F33" s="58"/>
      <c r="G33" s="58"/>
      <c r="H33" s="58"/>
      <c r="I33" s="58"/>
      <c r="J33" s="58"/>
      <c r="K33" s="58"/>
      <c r="L33" s="58"/>
      <c r="M33" s="39"/>
      <c r="N33" s="39"/>
      <c r="O33" s="58"/>
      <c r="P33" s="106"/>
      <c r="Q33" s="122"/>
      <c r="R33" s="124"/>
      <c r="S33" s="58"/>
      <c r="Y33" s="19"/>
    </row>
    <row r="34" spans="1:25" s="1" customFormat="1" ht="15" customHeight="1">
      <c r="A34" s="1" t="s">
        <v>2</v>
      </c>
      <c r="B34" s="4">
        <v>503</v>
      </c>
      <c r="C34" s="4">
        <v>513</v>
      </c>
      <c r="D34" s="4">
        <v>522</v>
      </c>
      <c r="E34" s="4">
        <v>525</v>
      </c>
      <c r="F34" s="4">
        <v>529</v>
      </c>
      <c r="G34" s="4">
        <v>532.20000000000005</v>
      </c>
      <c r="H34" s="4">
        <v>534.5</v>
      </c>
      <c r="I34" s="4">
        <v>538</v>
      </c>
      <c r="J34" s="4">
        <v>542</v>
      </c>
      <c r="K34" s="4">
        <v>543.71100000000001</v>
      </c>
      <c r="L34" s="4">
        <v>547</v>
      </c>
      <c r="M34" s="4">
        <v>561</v>
      </c>
      <c r="N34" s="4">
        <v>562</v>
      </c>
      <c r="O34" s="4">
        <v>558.51199999999994</v>
      </c>
      <c r="P34" s="4">
        <v>553.26300000000003</v>
      </c>
      <c r="Q34" s="4">
        <v>557</v>
      </c>
      <c r="R34" s="33">
        <v>567.88199999999995</v>
      </c>
      <c r="S34" s="12">
        <f>(ROUND(($R34-$N34)/4,0))+R34</f>
        <v>568.88199999999995</v>
      </c>
      <c r="T34" s="12">
        <f t="shared" ref="T34:X34" si="70">(ROUND(($R34-$N34)/4,0))+S34</f>
        <v>569.88199999999995</v>
      </c>
      <c r="U34" s="12">
        <f t="shared" si="70"/>
        <v>570.88199999999995</v>
      </c>
      <c r="V34" s="12">
        <f t="shared" si="70"/>
        <v>571.88199999999995</v>
      </c>
      <c r="W34" s="12">
        <f t="shared" si="70"/>
        <v>572.88199999999995</v>
      </c>
      <c r="X34" s="12">
        <f t="shared" si="70"/>
        <v>573.88199999999995</v>
      </c>
      <c r="Y34" s="12"/>
    </row>
    <row r="35" spans="1:25" s="1" customFormat="1" ht="15" customHeight="1">
      <c r="A35" s="1" t="s">
        <v>0</v>
      </c>
      <c r="B35" s="4">
        <v>90</v>
      </c>
      <c r="C35" s="4">
        <v>95</v>
      </c>
      <c r="D35" s="4">
        <v>93</v>
      </c>
      <c r="E35" s="4">
        <v>93</v>
      </c>
      <c r="F35" s="4">
        <v>96</v>
      </c>
      <c r="G35" s="4">
        <v>93</v>
      </c>
      <c r="H35" s="4">
        <v>95</v>
      </c>
      <c r="I35" s="4">
        <v>95</v>
      </c>
      <c r="J35" s="4">
        <v>97</v>
      </c>
      <c r="K35" s="4">
        <v>97</v>
      </c>
      <c r="L35" s="4">
        <v>99</v>
      </c>
      <c r="M35" s="4">
        <v>101</v>
      </c>
      <c r="N35" s="4">
        <v>102</v>
      </c>
      <c r="O35" s="4">
        <v>102</v>
      </c>
      <c r="P35" s="4">
        <v>99</v>
      </c>
      <c r="Q35" s="4">
        <v>101</v>
      </c>
      <c r="R35" s="33">
        <v>106</v>
      </c>
      <c r="S35" s="12">
        <f t="shared" ref="S35" si="71">(ROUND(($Q35-$H35)/9,0))+R35</f>
        <v>107</v>
      </c>
      <c r="T35" s="12">
        <f t="shared" ref="T35:X35" si="72">(ROUND(($Q35-$H35)/9,0))+S35</f>
        <v>108</v>
      </c>
      <c r="U35" s="12">
        <f t="shared" si="72"/>
        <v>109</v>
      </c>
      <c r="V35" s="12">
        <f t="shared" si="72"/>
        <v>110</v>
      </c>
      <c r="W35" s="12">
        <f t="shared" si="72"/>
        <v>111</v>
      </c>
      <c r="X35" s="12">
        <f t="shared" si="72"/>
        <v>112</v>
      </c>
      <c r="Y35" s="22"/>
    </row>
    <row r="36" spans="1:25" s="1" customFormat="1" ht="15" customHeight="1">
      <c r="B36" s="4"/>
      <c r="C36" s="4"/>
      <c r="D36" s="4"/>
      <c r="E36" s="4"/>
      <c r="F36" s="4"/>
      <c r="G36" s="4"/>
      <c r="H36" s="4"/>
      <c r="I36" s="4"/>
      <c r="J36" s="4"/>
      <c r="K36" s="5"/>
      <c r="L36" s="5"/>
      <c r="M36" s="5"/>
      <c r="N36" s="5"/>
      <c r="O36" s="5"/>
      <c r="P36" s="4"/>
      <c r="Q36" s="4"/>
      <c r="R36" s="36"/>
      <c r="S36" s="5"/>
      <c r="T36" s="5"/>
      <c r="U36" s="5"/>
      <c r="V36" s="5"/>
      <c r="W36" s="5"/>
      <c r="X36" s="5"/>
      <c r="Y36" s="5"/>
    </row>
    <row r="37" spans="1:25" s="1" customFormat="1" ht="15" customHeight="1">
      <c r="A37" s="1" t="s">
        <v>1</v>
      </c>
      <c r="B37" s="6">
        <f t="shared" ref="B37:B38" si="73">SUM(B3,B8,B30,B34)</f>
        <v>187675</v>
      </c>
      <c r="C37" s="6">
        <f t="shared" ref="C37:L37" si="74">SUM(C3,C8,C18,C21,C24,C27,C34)</f>
        <v>203709</v>
      </c>
      <c r="D37" s="6">
        <f t="shared" si="74"/>
        <v>193535</v>
      </c>
      <c r="E37" s="6">
        <f t="shared" si="74"/>
        <v>195287</v>
      </c>
      <c r="F37" s="6">
        <f t="shared" si="74"/>
        <v>186015</v>
      </c>
      <c r="G37" s="6">
        <f t="shared" si="74"/>
        <v>179811.20000000001</v>
      </c>
      <c r="H37" s="6">
        <f t="shared" si="74"/>
        <v>192274.68</v>
      </c>
      <c r="I37" s="6">
        <f t="shared" si="74"/>
        <v>191492</v>
      </c>
      <c r="J37" s="6">
        <f t="shared" si="74"/>
        <v>196168.54800000001</v>
      </c>
      <c r="K37" s="6">
        <f t="shared" si="74"/>
        <v>181790.147</v>
      </c>
      <c r="L37" s="6">
        <f t="shared" si="74"/>
        <v>201146</v>
      </c>
      <c r="M37" s="6">
        <f t="shared" ref="M37" si="75">SUM(M3,M8,M18,M21,M24,M27,M34)</f>
        <v>208652.01199999999</v>
      </c>
      <c r="N37" s="6">
        <f t="shared" ref="N37:O37" si="76">SUM(N3,N8,N18,N21,N24,N27,N34)</f>
        <v>210311</v>
      </c>
      <c r="O37" s="6">
        <f t="shared" si="76"/>
        <v>221134.77099999995</v>
      </c>
      <c r="P37" s="6">
        <f t="shared" ref="P37:Q37" si="77">SUM(P3,P8,P18,P21,P24,P27,P34)</f>
        <v>215729.334</v>
      </c>
      <c r="Q37" s="6">
        <f t="shared" si="77"/>
        <v>208025</v>
      </c>
      <c r="R37" s="34">
        <f t="shared" ref="R37" si="78">SUM(R3,R8,R18,R21,R24,R27,R34)</f>
        <v>234474.27900000004</v>
      </c>
      <c r="S37" s="12">
        <f t="shared" ref="S37" si="79">SUM(S3,S8,S18,S21,S24,S27,S34)</f>
        <v>264523.73847772158</v>
      </c>
      <c r="T37" s="12">
        <f t="shared" ref="T37:V38" si="80">SUM(T3,T8,T18,T21,T24,T27,T34)</f>
        <v>268675.19921514555</v>
      </c>
      <c r="U37" s="12">
        <f t="shared" si="80"/>
        <v>279962.00218253443</v>
      </c>
      <c r="V37" s="12">
        <f t="shared" si="80"/>
        <v>280490.673734012</v>
      </c>
      <c r="W37" s="12">
        <f t="shared" ref="W37:X37" si="81">SUM(W3,W8,W18,W21,W24,W27,W34)</f>
        <v>281019.45409031259</v>
      </c>
      <c r="X37" s="12">
        <f t="shared" si="81"/>
        <v>281548.34188611922</v>
      </c>
      <c r="Y37" s="20"/>
    </row>
    <row r="38" spans="1:25" s="1" customFormat="1" ht="15" customHeight="1">
      <c r="A38" s="1" t="s">
        <v>0</v>
      </c>
      <c r="B38" s="6">
        <f t="shared" si="73"/>
        <v>3727</v>
      </c>
      <c r="C38" s="6">
        <f t="shared" ref="C38:K38" si="82">SUM(C4,C9,C19,C22,C25,C28,C35)</f>
        <v>3745</v>
      </c>
      <c r="D38" s="6">
        <f t="shared" si="82"/>
        <v>3743</v>
      </c>
      <c r="E38" s="6">
        <f t="shared" si="82"/>
        <v>3751</v>
      </c>
      <c r="F38" s="6">
        <f t="shared" si="82"/>
        <v>3766</v>
      </c>
      <c r="G38" s="6">
        <f t="shared" si="82"/>
        <v>3754</v>
      </c>
      <c r="H38" s="6">
        <f t="shared" si="82"/>
        <v>3804</v>
      </c>
      <c r="I38" s="6">
        <f t="shared" si="82"/>
        <v>3917</v>
      </c>
      <c r="J38" s="6">
        <f t="shared" si="82"/>
        <v>3975</v>
      </c>
      <c r="K38" s="6">
        <f t="shared" si="82"/>
        <v>4036</v>
      </c>
      <c r="L38" s="6">
        <f t="shared" ref="L38:M38" si="83">SUM(L4,L9,L19,L22,L25,L28,L35)</f>
        <v>4134</v>
      </c>
      <c r="M38" s="6">
        <f t="shared" si="83"/>
        <v>4284</v>
      </c>
      <c r="N38" s="6">
        <f t="shared" ref="N38:O38" si="84">SUM(N4,N9,N19,N22,N25,N28,N35)</f>
        <v>4463</v>
      </c>
      <c r="O38" s="6">
        <f t="shared" si="84"/>
        <v>4496</v>
      </c>
      <c r="P38" s="6">
        <f t="shared" ref="P38:Q38" si="85">SUM(P4,P9,P19,P22,P25,P28,P35)</f>
        <v>4522</v>
      </c>
      <c r="Q38" s="6">
        <f t="shared" si="85"/>
        <v>4546</v>
      </c>
      <c r="R38" s="34">
        <f t="shared" ref="R38" si="86">SUM(R4,R9,R19,R22,R25,R28,R35)</f>
        <v>4564</v>
      </c>
      <c r="S38" s="12">
        <f t="shared" ref="S38" si="87">SUM(S4,S9,S19,S22,S25,S28,S35)</f>
        <v>4579</v>
      </c>
      <c r="T38" s="12">
        <f t="shared" si="80"/>
        <v>4593</v>
      </c>
      <c r="U38" s="12">
        <f t="shared" si="80"/>
        <v>4608</v>
      </c>
      <c r="V38" s="12">
        <f t="shared" si="80"/>
        <v>4621</v>
      </c>
      <c r="W38" s="12">
        <f t="shared" ref="W38:X38" si="88">SUM(W4,W9,W19,W22,W25,W28,W35)</f>
        <v>4635</v>
      </c>
      <c r="X38" s="12">
        <f t="shared" si="88"/>
        <v>4648</v>
      </c>
      <c r="Y38" s="12"/>
    </row>
    <row r="39" spans="1:25" s="1" customFormat="1" ht="15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107"/>
      <c r="Q39" s="107"/>
      <c r="R39" s="125"/>
      <c r="S39" s="51"/>
      <c r="T39" s="51"/>
      <c r="U39" s="51"/>
      <c r="V39" s="51"/>
      <c r="W39" s="51"/>
      <c r="X39" s="19"/>
      <c r="Y39" s="19"/>
    </row>
    <row r="40" spans="1:25" s="1" customFormat="1" ht="15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2"/>
      <c r="P40" s="4"/>
      <c r="Q40" s="6"/>
      <c r="R40" s="34"/>
      <c r="S40" s="6"/>
      <c r="T40" s="6"/>
      <c r="U40" s="6"/>
      <c r="V40" s="6"/>
      <c r="W40" s="6"/>
      <c r="X40" s="19"/>
      <c r="Y40" s="19"/>
    </row>
    <row r="41" spans="1:25" s="1" customFormat="1" ht="15" customHeight="1">
      <c r="A41" s="1" t="s">
        <v>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5"/>
      <c r="P41" s="4"/>
      <c r="Q41" s="4"/>
      <c r="R41" s="36"/>
      <c r="S41" s="5"/>
      <c r="T41" s="5"/>
      <c r="U41" s="5"/>
      <c r="V41" s="5"/>
      <c r="W41" s="5"/>
      <c r="X41" s="5"/>
      <c r="Y41" s="5"/>
    </row>
    <row r="42" spans="1:25" s="1" customFormat="1" ht="15" customHeight="1">
      <c r="A42" s="1" t="s">
        <v>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5"/>
      <c r="P42" s="4"/>
      <c r="Q42" s="4"/>
      <c r="R42" s="36"/>
      <c r="S42" s="5"/>
      <c r="T42" s="5"/>
      <c r="U42" s="5"/>
      <c r="V42" s="5"/>
      <c r="W42" s="5"/>
      <c r="X42" s="5"/>
      <c r="Y42" s="5"/>
    </row>
    <row r="43" spans="1:25" s="1" customFormat="1" ht="15" customHeight="1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5"/>
      <c r="P43" s="4"/>
      <c r="Q43" s="4"/>
      <c r="R43" s="36"/>
      <c r="S43" s="5"/>
      <c r="T43" s="5"/>
      <c r="U43" s="5"/>
      <c r="V43" s="5"/>
      <c r="W43" s="5"/>
      <c r="X43" s="5"/>
      <c r="Y43" s="5"/>
    </row>
    <row r="44" spans="1:25" s="1" customFormat="1" ht="15" customHeight="1">
      <c r="A44" s="1" t="s">
        <v>4</v>
      </c>
      <c r="B44" s="6">
        <f t="shared" ref="B44" si="89">B47-(B37+B41)</f>
        <v>5582</v>
      </c>
      <c r="C44" s="6">
        <f t="shared" ref="C44:G44" si="90">C47-(C37+C41)</f>
        <v>7023</v>
      </c>
      <c r="D44" s="6">
        <f t="shared" si="90"/>
        <v>6583</v>
      </c>
      <c r="E44" s="6">
        <f t="shared" si="90"/>
        <v>6072</v>
      </c>
      <c r="F44" s="6">
        <f t="shared" si="90"/>
        <v>9838</v>
      </c>
      <c r="G44" s="6">
        <f t="shared" si="90"/>
        <v>9358.7999999999884</v>
      </c>
      <c r="H44" s="6">
        <f t="shared" ref="H44:M44" si="91">H47-(H37+H41)</f>
        <v>9257.6790000000037</v>
      </c>
      <c r="I44" s="6">
        <f t="shared" si="91"/>
        <v>9665</v>
      </c>
      <c r="J44" s="6">
        <f t="shared" si="91"/>
        <v>7493.4519999999902</v>
      </c>
      <c r="K44" s="6">
        <f t="shared" si="91"/>
        <v>8238.7090000000026</v>
      </c>
      <c r="L44" s="6">
        <f t="shared" si="91"/>
        <v>11505</v>
      </c>
      <c r="M44" s="6">
        <f t="shared" si="91"/>
        <v>7573.3710000000137</v>
      </c>
      <c r="N44" s="6">
        <f t="shared" ref="N44:O44" si="92">N47-(N37+N41)</f>
        <v>11838.33600000001</v>
      </c>
      <c r="O44" s="6">
        <f t="shared" si="92"/>
        <v>8732.9360000000452</v>
      </c>
      <c r="P44" s="6">
        <f t="shared" ref="P44:R44" si="93">P47-(P37+P41)</f>
        <v>14643.652000000002</v>
      </c>
      <c r="Q44" s="6">
        <f t="shared" si="93"/>
        <v>14420</v>
      </c>
      <c r="R44" s="34">
        <f t="shared" si="93"/>
        <v>27288.099999999948</v>
      </c>
      <c r="S44" s="12">
        <f t="shared" ref="S44:T44" si="94">S45*(S37+S41)</f>
        <v>14245.985504294173</v>
      </c>
      <c r="T44" s="12">
        <f t="shared" si="94"/>
        <v>14469.563357183051</v>
      </c>
      <c r="U44" s="12">
        <f t="shared" ref="U44:V44" si="95">U45*(U37+U41)</f>
        <v>15077.416672687241</v>
      </c>
      <c r="V44" s="12">
        <f t="shared" si="95"/>
        <v>15105.888398144563</v>
      </c>
      <c r="W44" s="12">
        <f t="shared" ref="W44:X44" si="96">W45*(W37+W41)</f>
        <v>15134.36598331013</v>
      </c>
      <c r="X44" s="12">
        <f t="shared" si="96"/>
        <v>15162.849354654491</v>
      </c>
      <c r="Y44" s="12"/>
    </row>
    <row r="45" spans="1:25" s="1" customFormat="1" ht="15" customHeight="1">
      <c r="A45" s="1" t="s">
        <v>5</v>
      </c>
      <c r="B45" s="19">
        <f t="shared" ref="B45" si="97">B44/(B37+B41)</f>
        <v>2.9742906620487546E-2</v>
      </c>
      <c r="C45" s="19">
        <f t="shared" ref="C45:I45" si="98">C44/(C37+C41)</f>
        <v>3.4475649087669175E-2</v>
      </c>
      <c r="D45" s="19">
        <f t="shared" si="98"/>
        <v>3.4014519337587514E-2</v>
      </c>
      <c r="E45" s="19">
        <f t="shared" si="98"/>
        <v>3.1092699462841867E-2</v>
      </c>
      <c r="F45" s="19">
        <f t="shared" si="98"/>
        <v>5.2888207940219874E-2</v>
      </c>
      <c r="G45" s="19">
        <f t="shared" si="98"/>
        <v>5.2047925824420214E-2</v>
      </c>
      <c r="H45" s="19">
        <f t="shared" si="98"/>
        <v>4.814819611193738E-2</v>
      </c>
      <c r="I45" s="19">
        <f t="shared" si="98"/>
        <v>5.0472082384642701E-2</v>
      </c>
      <c r="J45" s="19">
        <f t="shared" ref="J45:O45" si="99">J44/(J37+J41)</f>
        <v>3.8199049115661445E-2</v>
      </c>
      <c r="K45" s="19">
        <f t="shared" si="99"/>
        <v>4.5319887441424442E-2</v>
      </c>
      <c r="L45" s="19">
        <f t="shared" si="99"/>
        <v>5.7197259701908067E-2</v>
      </c>
      <c r="M45" s="19">
        <f t="shared" si="99"/>
        <v>3.629665933918727E-2</v>
      </c>
      <c r="N45" s="19">
        <f t="shared" si="99"/>
        <v>5.6289666256163537E-2</v>
      </c>
      <c r="O45" s="19">
        <f t="shared" si="99"/>
        <v>3.9491464686935401E-2</v>
      </c>
      <c r="P45" s="19">
        <f t="shared" ref="P45:R45" si="100">P44/(P37+P41)</f>
        <v>6.7879744161264605E-2</v>
      </c>
      <c r="Q45" s="19">
        <f t="shared" si="100"/>
        <v>6.9318591515442854E-2</v>
      </c>
      <c r="R45" s="37">
        <f t="shared" si="100"/>
        <v>0.11637992924588519</v>
      </c>
      <c r="S45" s="14">
        <f>AVERAGE(M45:Q45)</f>
        <v>5.3855225191798736E-2</v>
      </c>
      <c r="T45" s="14">
        <f t="shared" ref="T45:X45" si="101">S45</f>
        <v>5.3855225191798736E-2</v>
      </c>
      <c r="U45" s="14">
        <f t="shared" si="101"/>
        <v>5.3855225191798736E-2</v>
      </c>
      <c r="V45" s="14">
        <f t="shared" si="101"/>
        <v>5.3855225191798736E-2</v>
      </c>
      <c r="W45" s="14">
        <f t="shared" si="101"/>
        <v>5.3855225191798736E-2</v>
      </c>
      <c r="X45" s="14">
        <f t="shared" si="101"/>
        <v>5.3855225191798736E-2</v>
      </c>
      <c r="Y45" s="13"/>
    </row>
    <row r="46" spans="1:25" s="8" customFormat="1" ht="15" customHeight="1">
      <c r="B46" s="7"/>
      <c r="C46" s="7"/>
      <c r="D46" s="7"/>
      <c r="E46" s="7"/>
      <c r="F46" s="7"/>
      <c r="G46" s="7"/>
      <c r="H46" s="7"/>
      <c r="I46" s="7"/>
      <c r="J46" s="7"/>
      <c r="O46" s="57"/>
      <c r="P46" s="108"/>
      <c r="Q46" s="108"/>
      <c r="R46" s="126"/>
      <c r="S46" s="57"/>
      <c r="T46" s="9"/>
      <c r="U46" s="9"/>
      <c r="V46" s="9"/>
      <c r="W46" s="9"/>
      <c r="X46" s="9"/>
      <c r="Y46" s="26"/>
    </row>
    <row r="47" spans="1:25" s="1" customFormat="1" ht="16.5" customHeight="1">
      <c r="A47" s="1" t="s">
        <v>31</v>
      </c>
      <c r="B47" s="4">
        <v>193257</v>
      </c>
      <c r="C47" s="4">
        <v>210732</v>
      </c>
      <c r="D47" s="4">
        <v>200118</v>
      </c>
      <c r="E47" s="4">
        <v>201359</v>
      </c>
      <c r="F47" s="4">
        <v>195853</v>
      </c>
      <c r="G47" s="4">
        <v>189170</v>
      </c>
      <c r="H47" s="4">
        <v>201532.359</v>
      </c>
      <c r="I47" s="4">
        <v>201157</v>
      </c>
      <c r="J47" s="4">
        <v>203662</v>
      </c>
      <c r="K47" s="4">
        <v>190028.856</v>
      </c>
      <c r="L47" s="4">
        <v>212651</v>
      </c>
      <c r="M47" s="4">
        <v>216225.383</v>
      </c>
      <c r="N47" s="4">
        <v>222149.33600000001</v>
      </c>
      <c r="O47" s="4">
        <v>229867.70699999999</v>
      </c>
      <c r="P47" s="4">
        <v>230372.986</v>
      </c>
      <c r="Q47" s="4">
        <v>222445</v>
      </c>
      <c r="R47" s="33">
        <v>261762.37899999999</v>
      </c>
      <c r="S47" s="12">
        <f t="shared" ref="S47:T47" si="102">S37+S41+S44</f>
        <v>278769.72398201574</v>
      </c>
      <c r="T47" s="12">
        <f t="shared" si="102"/>
        <v>283144.76257232862</v>
      </c>
      <c r="U47" s="12">
        <f t="shared" ref="U47:V47" si="103">U37+U41+U44</f>
        <v>295039.41885522165</v>
      </c>
      <c r="V47" s="12">
        <f t="shared" si="103"/>
        <v>295596.56213215657</v>
      </c>
      <c r="W47" s="12">
        <f t="shared" ref="W47:X47" si="104">W37+W41+W44</f>
        <v>296153.82007362274</v>
      </c>
      <c r="X47" s="12">
        <f t="shared" si="104"/>
        <v>296711.19124077371</v>
      </c>
      <c r="Y47" s="20"/>
    </row>
    <row r="48" spans="1:25" s="1" customFormat="1" ht="16.5" customHeight="1">
      <c r="A48" s="1" t="s">
        <v>35</v>
      </c>
      <c r="B48" s="4">
        <v>206000</v>
      </c>
      <c r="C48" s="4">
        <v>206700</v>
      </c>
      <c r="D48" s="4">
        <v>207300</v>
      </c>
      <c r="E48" s="4">
        <v>203800</v>
      </c>
      <c r="F48" s="4">
        <v>203800</v>
      </c>
      <c r="G48" s="4">
        <v>203500</v>
      </c>
      <c r="H48" s="4">
        <v>204400</v>
      </c>
      <c r="I48" s="43">
        <v>208600</v>
      </c>
      <c r="J48" s="43">
        <v>211600</v>
      </c>
      <c r="K48" s="43">
        <v>216400</v>
      </c>
      <c r="L48" s="43">
        <v>221500</v>
      </c>
      <c r="M48" s="43">
        <v>226900</v>
      </c>
      <c r="N48" s="43">
        <v>226100</v>
      </c>
      <c r="O48" s="43">
        <v>225600</v>
      </c>
      <c r="P48" s="4">
        <v>224900</v>
      </c>
      <c r="Q48" s="4">
        <v>223700</v>
      </c>
      <c r="R48" s="33"/>
      <c r="S48" s="12"/>
      <c r="T48" s="12"/>
      <c r="U48" s="12"/>
      <c r="V48" s="12"/>
      <c r="W48" s="12"/>
      <c r="X48" s="12"/>
      <c r="Y48" s="20"/>
    </row>
    <row r="49" spans="1:25" s="1" customFormat="1" ht="22.5" customHeight="1">
      <c r="A49" s="1" t="s">
        <v>38</v>
      </c>
      <c r="B49" s="4">
        <v>50500</v>
      </c>
      <c r="C49" s="4">
        <v>51100</v>
      </c>
      <c r="D49" s="4">
        <v>48900</v>
      </c>
      <c r="E49" s="4">
        <v>48115</v>
      </c>
      <c r="F49" s="4">
        <v>48269</v>
      </c>
      <c r="G49" s="4">
        <v>48787</v>
      </c>
      <c r="H49" s="4">
        <v>49018</v>
      </c>
      <c r="I49" s="4">
        <v>51504</v>
      </c>
      <c r="J49" s="4">
        <v>48461</v>
      </c>
      <c r="K49" s="43">
        <v>50765</v>
      </c>
      <c r="L49" s="43">
        <v>50534</v>
      </c>
      <c r="M49" s="43">
        <v>53462</v>
      </c>
      <c r="N49" s="43">
        <v>55430</v>
      </c>
      <c r="O49" s="43">
        <v>55470</v>
      </c>
      <c r="P49" s="43">
        <v>50906</v>
      </c>
      <c r="Q49" s="4">
        <v>54701</v>
      </c>
      <c r="R49" s="33">
        <v>57918</v>
      </c>
      <c r="S49" s="94">
        <f>(S47-(S27*(1+S45)))/8.76/AVERAGE($Q51,$H51:$P51)+((4200+5000)*0.98*0.75*0.9)</f>
        <v>60429.304996077612</v>
      </c>
      <c r="T49" s="94">
        <f>(T47-(T27*(1+T45)))/8.76/AVERAGE($Q51,$H51:$P51)+((4200+5000)*0.98*0.75*0.9)</f>
        <v>60583.000169134211</v>
      </c>
      <c r="U49" s="111">
        <f>(U47-(U27*(1+U45)))/8.76/AVERAGE($Q51,$H51:$P51)+((4200+5000+1000)*0.98*0.75*0.9)</f>
        <v>61205.570575922706</v>
      </c>
      <c r="V49" s="111">
        <f t="shared" ref="V49:X49" si="105">(V47-(V27*(1+V45)))/8.76/AVERAGE($Q51,$H51:$P51)+((4200+5000+1000)*0.98*0.75*0.9)</f>
        <v>61341.594321500314</v>
      </c>
      <c r="W49" s="111">
        <f t="shared" si="105"/>
        <v>61477.646061849955</v>
      </c>
      <c r="X49" s="111">
        <f t="shared" si="105"/>
        <v>61613.725445684453</v>
      </c>
      <c r="Y49" s="20"/>
    </row>
    <row r="50" spans="1:25" s="1" customFormat="1" ht="15" customHeight="1">
      <c r="B50" s="4"/>
      <c r="C50" s="4"/>
      <c r="D50" s="4"/>
      <c r="E50" s="4"/>
      <c r="F50" s="4"/>
      <c r="G50" s="4"/>
      <c r="H50" s="4"/>
      <c r="I50" s="4"/>
      <c r="J50" s="4"/>
      <c r="K50" s="5"/>
      <c r="L50" s="17"/>
      <c r="M50" s="17"/>
      <c r="N50" s="17"/>
      <c r="O50" s="17"/>
      <c r="P50" s="23"/>
      <c r="Q50" s="23"/>
      <c r="R50" s="36"/>
      <c r="S50" s="94"/>
      <c r="T50" s="94"/>
      <c r="U50" s="94"/>
      <c r="V50" s="94"/>
      <c r="W50" s="94"/>
      <c r="X50" s="94"/>
      <c r="Y50" s="5"/>
    </row>
    <row r="51" spans="1:25" s="1" customFormat="1" ht="18" customHeight="1">
      <c r="A51" s="1" t="s">
        <v>32</v>
      </c>
      <c r="B51" s="19">
        <f t="shared" ref="B51" si="106">B47/(B49*8.76)</f>
        <v>0.43685745286857453</v>
      </c>
      <c r="C51" s="19">
        <f t="shared" ref="C51:K51" si="107">C47/(C49*8.76)</f>
        <v>0.47076642629279147</v>
      </c>
      <c r="D51" s="19">
        <f t="shared" si="107"/>
        <v>0.46716810936493264</v>
      </c>
      <c r="E51" s="19">
        <f t="shared" si="107"/>
        <v>0.47773432847577418</v>
      </c>
      <c r="F51" s="19">
        <f t="shared" si="107"/>
        <v>0.46318855583970009</v>
      </c>
      <c r="G51" s="19">
        <f t="shared" si="107"/>
        <v>0.44263326005795578</v>
      </c>
      <c r="H51" s="19">
        <f t="shared" si="107"/>
        <v>0.469337326182107</v>
      </c>
      <c r="I51" s="19">
        <f t="shared" si="107"/>
        <v>0.44585134851431502</v>
      </c>
      <c r="J51" s="19">
        <f t="shared" si="107"/>
        <v>0.47974839062319946</v>
      </c>
      <c r="K51" s="19">
        <f t="shared" si="107"/>
        <v>0.42731787217220368</v>
      </c>
      <c r="L51" s="19">
        <f t="shared" ref="L51:R51" si="108">L47/(L49*8.76)</f>
        <v>0.48037417007365901</v>
      </c>
      <c r="M51" s="19">
        <f t="shared" si="108"/>
        <v>0.46169733454684408</v>
      </c>
      <c r="N51" s="19">
        <f t="shared" si="108"/>
        <v>0.45750520010840939</v>
      </c>
      <c r="O51" s="19">
        <f t="shared" si="108"/>
        <v>0.47305941629561576</v>
      </c>
      <c r="P51" s="19">
        <f t="shared" si="108"/>
        <v>0.51660484172905674</v>
      </c>
      <c r="Q51" s="19">
        <f t="shared" si="108"/>
        <v>0.46421938977683491</v>
      </c>
      <c r="R51" s="37">
        <f t="shared" si="108"/>
        <v>0.51592855613376243</v>
      </c>
      <c r="S51" s="166">
        <f t="shared" ref="S51:V51" si="109">S47/(S49*8.76)</f>
        <v>0.52661581750599107</v>
      </c>
      <c r="T51" s="166">
        <f t="shared" si="109"/>
        <v>0.53352361868217713</v>
      </c>
      <c r="U51" s="166">
        <f t="shared" si="109"/>
        <v>0.55028159429208601</v>
      </c>
      <c r="V51" s="166">
        <f t="shared" si="109"/>
        <v>0.55009818639403352</v>
      </c>
      <c r="W51" s="166">
        <f t="shared" ref="W51:X51" si="110">W47/(W49*8.76)</f>
        <v>0.54991555260626457</v>
      </c>
      <c r="X51" s="166">
        <f t="shared" si="110"/>
        <v>0.54973368851813431</v>
      </c>
      <c r="Y51" s="21"/>
    </row>
    <row r="52" spans="1:25" s="8" customFormat="1" ht="21" customHeight="1">
      <c r="A52" s="1" t="s">
        <v>36</v>
      </c>
      <c r="B52" s="19">
        <f t="shared" ref="B52" si="111">B48/(B49*8.76)</f>
        <v>0.46566300465663002</v>
      </c>
      <c r="C52" s="19">
        <f t="shared" ref="C52:Q52" si="112">C48/(C49*8.76)</f>
        <v>0.46175910784655388</v>
      </c>
      <c r="D52" s="19">
        <f t="shared" si="112"/>
        <v>0.48393422416449561</v>
      </c>
      <c r="E52" s="19">
        <f t="shared" si="112"/>
        <v>0.48352572342613331</v>
      </c>
      <c r="F52" s="19">
        <f t="shared" si="112"/>
        <v>0.48198305708940314</v>
      </c>
      <c r="G52" s="19">
        <f t="shared" si="112"/>
        <v>0.47616360110902362</v>
      </c>
      <c r="H52" s="19">
        <f t="shared" si="112"/>
        <v>0.47601561331211667</v>
      </c>
      <c r="I52" s="19">
        <f t="shared" si="112"/>
        <v>0.46234827174836624</v>
      </c>
      <c r="J52" s="19">
        <f t="shared" si="112"/>
        <v>0.4984472285250513</v>
      </c>
      <c r="K52" s="19">
        <f t="shared" si="112"/>
        <v>0.48661866142089955</v>
      </c>
      <c r="L52" s="19">
        <f t="shared" ref="L52" si="113">L48/(L49*8.76)</f>
        <v>0.50036387635757873</v>
      </c>
      <c r="M52" s="19">
        <f t="shared" si="112"/>
        <v>0.4844904134528874</v>
      </c>
      <c r="N52" s="19">
        <f t="shared" si="112"/>
        <v>0.46564139063873394</v>
      </c>
      <c r="O52" s="19">
        <f t="shared" si="112"/>
        <v>0.4642766298455786</v>
      </c>
      <c r="P52" s="19">
        <f t="shared" si="112"/>
        <v>0.50433182693071854</v>
      </c>
      <c r="Q52" s="19">
        <f t="shared" si="112"/>
        <v>0.46683844317956336</v>
      </c>
      <c r="R52" s="114"/>
    </row>
    <row r="53" spans="1:25" s="8" customFormat="1" ht="15" customHeight="1">
      <c r="C53" s="44"/>
      <c r="D53" s="44"/>
      <c r="E53" s="44"/>
      <c r="F53" s="44"/>
      <c r="G53" s="44"/>
      <c r="H53" s="44"/>
      <c r="I53" s="44"/>
      <c r="J53" s="44"/>
      <c r="K53" s="45"/>
      <c r="L53" s="45"/>
      <c r="M53" s="45"/>
      <c r="N53" s="41"/>
      <c r="O53" s="41"/>
      <c r="P53" s="109"/>
      <c r="Q53" s="10"/>
      <c r="R53" s="127"/>
      <c r="S53" s="46"/>
      <c r="T53" s="46"/>
      <c r="U53" s="112"/>
      <c r="V53" s="112"/>
      <c r="W53" s="112"/>
      <c r="X53" s="112"/>
    </row>
    <row r="54" spans="1:25" s="8" customFormat="1" ht="15" customHeight="1">
      <c r="C54" s="10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14"/>
    </row>
  </sheetData>
  <phoneticPr fontId="0" type="noConversion"/>
  <pageMargins left="0.75" right="0.75" top="1" bottom="1" header="0.5" footer="0.5"/>
  <pageSetup scale="2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zoomScale="90" zoomScaleNormal="90" workbookViewId="0">
      <pane xSplit="1" ySplit="2" topLeftCell="B3" activePane="bottomRight" state="frozen"/>
      <selection activeCell="A36" sqref="A36"/>
      <selection pane="topRight" activeCell="A36" sqref="A36"/>
      <selection pane="bottomLeft" activeCell="A36" sqref="A36"/>
      <selection pane="bottomRight"/>
    </sheetView>
  </sheetViews>
  <sheetFormatPr defaultColWidth="7.140625" defaultRowHeight="15.75"/>
  <cols>
    <col min="1" max="1" width="27" style="133" bestFit="1" customWidth="1"/>
    <col min="2" max="2" width="9.42578125" style="133" customWidth="1"/>
    <col min="3" max="11" width="8.140625" style="71" bestFit="1" customWidth="1"/>
    <col min="12" max="12" width="9.28515625" style="71" bestFit="1" customWidth="1"/>
    <col min="13" max="13" width="9" style="71" customWidth="1"/>
    <col min="14" max="14" width="8.140625" style="88" bestFit="1" customWidth="1"/>
    <col min="15" max="16" width="8.140625" style="71" bestFit="1" customWidth="1"/>
    <col min="17" max="17" width="10.28515625" style="88" bestFit="1" customWidth="1"/>
    <col min="18" max="18" width="11.28515625" style="71" bestFit="1" customWidth="1"/>
    <col min="19" max="19" width="16.140625" style="135" customWidth="1"/>
    <col min="20" max="21" width="11.28515625" style="71" bestFit="1" customWidth="1"/>
    <col min="22" max="22" width="11.7109375" style="131" bestFit="1" customWidth="1"/>
    <col min="23" max="23" width="11.42578125" style="133" customWidth="1"/>
    <col min="24" max="24" width="11.42578125" style="50" customWidth="1"/>
    <col min="25" max="25" width="9.28515625" style="50" bestFit="1" customWidth="1"/>
    <col min="26" max="16384" width="7.140625" style="133"/>
  </cols>
  <sheetData>
    <row r="1" spans="1:25" s="71" customFormat="1" ht="15" customHeight="1">
      <c r="A1" s="63"/>
      <c r="B1" s="87"/>
      <c r="C1" s="226"/>
      <c r="D1" s="226"/>
      <c r="E1" s="226"/>
      <c r="F1" s="226"/>
      <c r="G1" s="226"/>
      <c r="H1" s="226"/>
      <c r="I1" s="226"/>
      <c r="J1" s="226"/>
      <c r="K1" s="227"/>
      <c r="L1" s="227"/>
      <c r="M1" s="227"/>
      <c r="N1" s="227"/>
      <c r="O1" s="228"/>
      <c r="P1" s="228"/>
      <c r="Q1" s="227"/>
      <c r="R1" s="96"/>
      <c r="S1" s="251" t="s">
        <v>52</v>
      </c>
      <c r="T1" s="252"/>
      <c r="U1" s="252"/>
      <c r="V1" s="252"/>
      <c r="W1" s="252"/>
      <c r="X1" s="250"/>
      <c r="Y1" s="50"/>
    </row>
    <row r="2" spans="1:25" s="88" customFormat="1" ht="23.25" customHeight="1">
      <c r="A2" s="88" t="s">
        <v>20</v>
      </c>
      <c r="B2" s="2">
        <v>2001</v>
      </c>
      <c r="C2" s="88">
        <v>2002</v>
      </c>
      <c r="D2" s="88">
        <v>2003</v>
      </c>
      <c r="E2" s="88">
        <v>2004</v>
      </c>
      <c r="F2" s="88">
        <v>2005</v>
      </c>
      <c r="G2" s="88">
        <v>2006</v>
      </c>
      <c r="H2" s="88">
        <v>2007</v>
      </c>
      <c r="I2" s="88">
        <v>2008</v>
      </c>
      <c r="J2" s="88">
        <v>2009</v>
      </c>
      <c r="K2" s="88">
        <v>2010</v>
      </c>
      <c r="L2" s="88">
        <v>2011</v>
      </c>
      <c r="M2" s="88">
        <v>2012</v>
      </c>
      <c r="N2" s="88">
        <f t="shared" ref="N2:X2" si="0">+M2+1</f>
        <v>2013</v>
      </c>
      <c r="O2" s="88">
        <f t="shared" si="0"/>
        <v>2014</v>
      </c>
      <c r="P2" s="88">
        <v>2015</v>
      </c>
      <c r="Q2" s="88">
        <v>2016</v>
      </c>
      <c r="R2" s="88">
        <f t="shared" si="0"/>
        <v>2017</v>
      </c>
      <c r="S2" s="136">
        <f t="shared" si="0"/>
        <v>2018</v>
      </c>
      <c r="T2" s="88">
        <f>+S2+1</f>
        <v>2019</v>
      </c>
      <c r="U2" s="88">
        <f t="shared" si="0"/>
        <v>2020</v>
      </c>
      <c r="V2" s="88">
        <f t="shared" si="0"/>
        <v>2021</v>
      </c>
      <c r="W2" s="88">
        <f t="shared" si="0"/>
        <v>2022</v>
      </c>
      <c r="X2" s="88">
        <f t="shared" si="0"/>
        <v>2023</v>
      </c>
      <c r="Y2" s="59"/>
    </row>
    <row r="3" spans="1:25" s="71" customFormat="1" ht="21.75" customHeight="1">
      <c r="A3" s="199" t="s">
        <v>21</v>
      </c>
      <c r="B3" s="4">
        <v>1339</v>
      </c>
      <c r="C3" s="43">
        <v>1504</v>
      </c>
      <c r="D3" s="43">
        <v>1415</v>
      </c>
      <c r="E3" s="43">
        <v>1347</v>
      </c>
      <c r="F3" s="43">
        <v>1305</v>
      </c>
      <c r="G3" s="43">
        <v>1320</v>
      </c>
      <c r="H3" s="43">
        <v>1512.2</v>
      </c>
      <c r="I3" s="43">
        <v>1490</v>
      </c>
      <c r="J3" s="43">
        <v>824</v>
      </c>
      <c r="K3" s="43">
        <v>541.00400000000002</v>
      </c>
      <c r="L3" s="43">
        <v>605.33000000000004</v>
      </c>
      <c r="M3" s="43">
        <v>581.86800000000005</v>
      </c>
      <c r="N3" s="43">
        <v>621</v>
      </c>
      <c r="O3" s="43">
        <v>624.59299999999996</v>
      </c>
      <c r="P3" s="43">
        <v>597.44600000000003</v>
      </c>
      <c r="Q3" s="43">
        <v>545</v>
      </c>
      <c r="R3" s="43">
        <v>500.56</v>
      </c>
      <c r="S3" s="137">
        <f t="shared" ref="S3:X3" si="1">S6/1000*((R4+S4)/2)</f>
        <v>538.35</v>
      </c>
      <c r="T3" s="56">
        <f t="shared" si="1"/>
        <v>534.65</v>
      </c>
      <c r="U3" s="56">
        <f t="shared" si="1"/>
        <v>530.95000000000005</v>
      </c>
      <c r="V3" s="56">
        <f t="shared" si="1"/>
        <v>527.25</v>
      </c>
      <c r="W3" s="56">
        <f t="shared" si="1"/>
        <v>523.55000000000007</v>
      </c>
      <c r="X3" s="56">
        <f t="shared" si="1"/>
        <v>519.85</v>
      </c>
      <c r="Y3" s="48"/>
    </row>
    <row r="4" spans="1:25" s="71" customFormat="1" ht="15" customHeight="1">
      <c r="A4" s="71" t="s">
        <v>8</v>
      </c>
      <c r="B4" s="4">
        <v>191</v>
      </c>
      <c r="C4" s="43">
        <v>187</v>
      </c>
      <c r="D4" s="43">
        <v>186</v>
      </c>
      <c r="E4" s="43">
        <v>186</v>
      </c>
      <c r="F4" s="43">
        <v>185</v>
      </c>
      <c r="G4" s="43">
        <v>186</v>
      </c>
      <c r="H4" s="43">
        <v>184</v>
      </c>
      <c r="I4" s="43">
        <v>170</v>
      </c>
      <c r="J4" s="43">
        <v>157</v>
      </c>
      <c r="K4" s="43">
        <v>156</v>
      </c>
      <c r="L4" s="43">
        <v>154</v>
      </c>
      <c r="M4" s="43">
        <v>152</v>
      </c>
      <c r="N4" s="43">
        <v>151</v>
      </c>
      <c r="O4" s="43">
        <v>150</v>
      </c>
      <c r="P4" s="43">
        <v>148</v>
      </c>
      <c r="Q4" s="43">
        <v>146</v>
      </c>
      <c r="R4" s="43">
        <v>146</v>
      </c>
      <c r="S4" s="137">
        <f t="shared" ref="S4:X4" si="2">ROUND(R4+S5,)</f>
        <v>145</v>
      </c>
      <c r="T4" s="56">
        <f t="shared" si="2"/>
        <v>144</v>
      </c>
      <c r="U4" s="56">
        <f t="shared" si="2"/>
        <v>143</v>
      </c>
      <c r="V4" s="56">
        <f t="shared" si="2"/>
        <v>142</v>
      </c>
      <c r="W4" s="56">
        <f t="shared" si="2"/>
        <v>141</v>
      </c>
      <c r="X4" s="56">
        <f t="shared" si="2"/>
        <v>140</v>
      </c>
      <c r="Y4" s="48"/>
    </row>
    <row r="5" spans="1:25" s="71" customFormat="1" ht="15" customHeight="1">
      <c r="A5" s="71" t="s">
        <v>7</v>
      </c>
      <c r="B5" s="6"/>
      <c r="C5" s="90"/>
      <c r="D5" s="90">
        <f t="shared" ref="D5:O5" si="3">D4-C4</f>
        <v>-1</v>
      </c>
      <c r="E5" s="90">
        <f t="shared" si="3"/>
        <v>0</v>
      </c>
      <c r="F5" s="90">
        <f t="shared" si="3"/>
        <v>-1</v>
      </c>
      <c r="G5" s="90">
        <f t="shared" si="3"/>
        <v>1</v>
      </c>
      <c r="H5" s="90">
        <f t="shared" si="3"/>
        <v>-2</v>
      </c>
      <c r="I5" s="90">
        <f t="shared" si="3"/>
        <v>-14</v>
      </c>
      <c r="J5" s="90">
        <f t="shared" si="3"/>
        <v>-13</v>
      </c>
      <c r="K5" s="90">
        <f t="shared" si="3"/>
        <v>-1</v>
      </c>
      <c r="L5" s="90">
        <f t="shared" si="3"/>
        <v>-2</v>
      </c>
      <c r="M5" s="90">
        <f t="shared" si="3"/>
        <v>-2</v>
      </c>
      <c r="N5" s="90">
        <f t="shared" si="3"/>
        <v>-1</v>
      </c>
      <c r="O5" s="90">
        <f t="shared" si="3"/>
        <v>-1</v>
      </c>
      <c r="P5" s="90">
        <f t="shared" ref="P5" si="4">P4-O4</f>
        <v>-2</v>
      </c>
      <c r="Q5" s="90">
        <f t="shared" ref="Q5:R5" si="5">Q4-P4</f>
        <v>-2</v>
      </c>
      <c r="R5" s="90">
        <f t="shared" si="5"/>
        <v>0</v>
      </c>
      <c r="S5" s="138">
        <f>AVERAGE($N5:$R5)</f>
        <v>-1.2</v>
      </c>
      <c r="T5" s="63">
        <v>-1</v>
      </c>
      <c r="U5" s="63">
        <v>-1</v>
      </c>
      <c r="V5" s="63">
        <v>-1</v>
      </c>
      <c r="W5" s="63">
        <v>-1</v>
      </c>
      <c r="X5" s="63">
        <v>-1</v>
      </c>
      <c r="Y5" s="49"/>
    </row>
    <row r="6" spans="1:25" s="71" customFormat="1" ht="15" customHeight="1">
      <c r="A6" s="71" t="s">
        <v>6</v>
      </c>
      <c r="B6" s="6"/>
      <c r="C6" s="90"/>
      <c r="D6" s="90">
        <f t="shared" ref="D6:O6" si="6">D3*1000/((C4+D4)/2)</f>
        <v>7587.1313672922251</v>
      </c>
      <c r="E6" s="90">
        <f t="shared" si="6"/>
        <v>7241.9354838709678</v>
      </c>
      <c r="F6" s="90">
        <f t="shared" si="6"/>
        <v>7035.0404312668461</v>
      </c>
      <c r="G6" s="90">
        <f t="shared" si="6"/>
        <v>7115.9029649595686</v>
      </c>
      <c r="H6" s="90">
        <f t="shared" si="6"/>
        <v>8174.0540540540542</v>
      </c>
      <c r="I6" s="90">
        <f t="shared" si="6"/>
        <v>8418.0790960451977</v>
      </c>
      <c r="J6" s="90">
        <f t="shared" si="6"/>
        <v>5039.7553516819571</v>
      </c>
      <c r="K6" s="90">
        <f t="shared" si="6"/>
        <v>3456.8945686900956</v>
      </c>
      <c r="L6" s="90">
        <f t="shared" si="6"/>
        <v>3905.3548387096776</v>
      </c>
      <c r="M6" s="90">
        <f t="shared" si="6"/>
        <v>3803.0588235294117</v>
      </c>
      <c r="N6" s="90">
        <f t="shared" si="6"/>
        <v>4099.0099009900987</v>
      </c>
      <c r="O6" s="90">
        <f t="shared" si="6"/>
        <v>4150.1196013289036</v>
      </c>
      <c r="P6" s="90">
        <f t="shared" ref="P6" si="7">P3*1000/((O4+P4)/2)</f>
        <v>4009.7046979865772</v>
      </c>
      <c r="Q6" s="90">
        <f t="shared" ref="Q6:R6" si="8">Q3*1000/((P4+Q4)/2)</f>
        <v>3707.482993197279</v>
      </c>
      <c r="R6" s="90">
        <f t="shared" si="8"/>
        <v>3428.4931506849316</v>
      </c>
      <c r="S6" s="137">
        <v>3700</v>
      </c>
      <c r="T6" s="56">
        <f t="shared" ref="T6:X6" si="9">S6</f>
        <v>3700</v>
      </c>
      <c r="U6" s="56">
        <f t="shared" si="9"/>
        <v>3700</v>
      </c>
      <c r="V6" s="56">
        <f t="shared" si="9"/>
        <v>3700</v>
      </c>
      <c r="W6" s="56">
        <f t="shared" si="9"/>
        <v>3700</v>
      </c>
      <c r="X6" s="56">
        <f t="shared" si="9"/>
        <v>3700</v>
      </c>
      <c r="Y6" s="48"/>
    </row>
    <row r="7" spans="1:25" s="71" customFormat="1" ht="15" customHeight="1">
      <c r="B7" s="5"/>
      <c r="C7" s="63"/>
      <c r="D7" s="63"/>
      <c r="E7" s="63"/>
      <c r="F7" s="63"/>
      <c r="G7" s="63"/>
      <c r="H7" s="63"/>
      <c r="I7" s="63"/>
      <c r="J7" s="63"/>
      <c r="N7" s="88"/>
      <c r="P7" s="88"/>
      <c r="Q7" s="88"/>
      <c r="S7" s="135"/>
      <c r="V7" s="63"/>
      <c r="Y7" s="50"/>
    </row>
    <row r="8" spans="1:25" s="71" customFormat="1" ht="15" customHeight="1">
      <c r="A8" s="199" t="s">
        <v>22</v>
      </c>
      <c r="B8" s="4">
        <v>25273</v>
      </c>
      <c r="C8" s="43">
        <v>27541</v>
      </c>
      <c r="D8" s="43">
        <v>26645</v>
      </c>
      <c r="E8" s="43">
        <v>27206</v>
      </c>
      <c r="F8" s="43">
        <v>25505</v>
      </c>
      <c r="G8" s="43">
        <v>24761</v>
      </c>
      <c r="H8" s="43">
        <v>28179.3</v>
      </c>
      <c r="I8" s="43">
        <v>28853</v>
      </c>
      <c r="J8" s="43">
        <v>30323</v>
      </c>
      <c r="K8" s="43">
        <v>28773.585999999999</v>
      </c>
      <c r="L8" s="43">
        <v>32602.6</v>
      </c>
      <c r="M8" s="43">
        <v>34537.067000000003</v>
      </c>
      <c r="N8" s="43">
        <v>36544</v>
      </c>
      <c r="O8" s="43">
        <v>37358.402000000002</v>
      </c>
      <c r="P8" s="43">
        <v>37628.963000000003</v>
      </c>
      <c r="Q8" s="43">
        <v>36766</v>
      </c>
      <c r="R8" s="43">
        <v>35687.788999999997</v>
      </c>
      <c r="S8" s="137">
        <f t="shared" ref="S8:X8" si="10">S11/1000*((R9+S9)/2)</f>
        <v>37150.75</v>
      </c>
      <c r="T8" s="56">
        <f t="shared" si="10"/>
        <v>37071.890547263683</v>
      </c>
      <c r="U8" s="56">
        <f t="shared" si="10"/>
        <v>36992.896215440218</v>
      </c>
      <c r="V8" s="56">
        <f t="shared" si="10"/>
        <v>37098.339150021042</v>
      </c>
      <c r="W8" s="56">
        <f t="shared" si="10"/>
        <v>37203.782084601873</v>
      </c>
      <c r="X8" s="56">
        <f t="shared" si="10"/>
        <v>37309.225019182697</v>
      </c>
      <c r="Y8" s="48"/>
    </row>
    <row r="9" spans="1:25" s="71" customFormat="1" ht="15" customHeight="1">
      <c r="A9" s="71" t="s">
        <v>8</v>
      </c>
      <c r="B9" s="4">
        <v>737</v>
      </c>
      <c r="C9" s="43">
        <v>734</v>
      </c>
      <c r="D9" s="43">
        <v>739</v>
      </c>
      <c r="E9" s="43">
        <v>741</v>
      </c>
      <c r="F9" s="43">
        <v>743</v>
      </c>
      <c r="G9" s="43">
        <v>747</v>
      </c>
      <c r="H9" s="43">
        <v>795</v>
      </c>
      <c r="I9" s="43">
        <v>837</v>
      </c>
      <c r="J9" s="43">
        <v>861</v>
      </c>
      <c r="K9" s="43">
        <v>903</v>
      </c>
      <c r="L9" s="43">
        <v>951</v>
      </c>
      <c r="M9" s="43">
        <v>1013</v>
      </c>
      <c r="N9" s="43">
        <v>1027</v>
      </c>
      <c r="O9" s="43">
        <v>1040</v>
      </c>
      <c r="P9" s="43">
        <v>1041</v>
      </c>
      <c r="Q9" s="43">
        <v>1042</v>
      </c>
      <c r="R9" s="43">
        <v>1045</v>
      </c>
      <c r="S9" s="137">
        <f t="shared" ref="S9" si="11">R9+S10</f>
        <v>1048</v>
      </c>
      <c r="T9" s="56">
        <f>S9+T10</f>
        <v>1051</v>
      </c>
      <c r="U9" s="56">
        <f>T9+U10</f>
        <v>1054</v>
      </c>
      <c r="V9" s="56">
        <f t="shared" ref="V9:X9" si="12">U9+V10</f>
        <v>1057</v>
      </c>
      <c r="W9" s="56">
        <f t="shared" si="12"/>
        <v>1060</v>
      </c>
      <c r="X9" s="56">
        <f t="shared" si="12"/>
        <v>1063</v>
      </c>
      <c r="Y9" s="48"/>
    </row>
    <row r="10" spans="1:25" s="71" customFormat="1" ht="15" customHeight="1">
      <c r="A10" s="71" t="s">
        <v>7</v>
      </c>
      <c r="B10" s="6"/>
      <c r="C10" s="90"/>
      <c r="D10" s="90">
        <f t="shared" ref="D10:O10" si="13">D9-C9</f>
        <v>5</v>
      </c>
      <c r="E10" s="90">
        <f t="shared" si="13"/>
        <v>2</v>
      </c>
      <c r="F10" s="90">
        <f t="shared" si="13"/>
        <v>2</v>
      </c>
      <c r="G10" s="90">
        <f t="shared" si="13"/>
        <v>4</v>
      </c>
      <c r="H10" s="90">
        <f t="shared" si="13"/>
        <v>48</v>
      </c>
      <c r="I10" s="90">
        <f t="shared" si="13"/>
        <v>42</v>
      </c>
      <c r="J10" s="90">
        <f t="shared" si="13"/>
        <v>24</v>
      </c>
      <c r="K10" s="90">
        <f t="shared" si="13"/>
        <v>42</v>
      </c>
      <c r="L10" s="90">
        <f t="shared" si="13"/>
        <v>48</v>
      </c>
      <c r="M10" s="90">
        <f t="shared" si="13"/>
        <v>62</v>
      </c>
      <c r="N10" s="90">
        <f t="shared" si="13"/>
        <v>14</v>
      </c>
      <c r="O10" s="90">
        <f t="shared" si="13"/>
        <v>13</v>
      </c>
      <c r="P10" s="90">
        <f t="shared" ref="P10" si="14">P9-O9</f>
        <v>1</v>
      </c>
      <c r="Q10" s="90">
        <f t="shared" ref="Q10:R10" si="15">Q9-P9</f>
        <v>1</v>
      </c>
      <c r="R10" s="90">
        <f t="shared" si="15"/>
        <v>3</v>
      </c>
      <c r="S10" s="138">
        <v>3</v>
      </c>
      <c r="T10" s="63">
        <v>3</v>
      </c>
      <c r="U10" s="63">
        <v>3</v>
      </c>
      <c r="V10" s="63">
        <v>3</v>
      </c>
      <c r="W10" s="63">
        <v>3</v>
      </c>
      <c r="X10" s="63">
        <v>3</v>
      </c>
      <c r="Y10" s="49"/>
    </row>
    <row r="11" spans="1:25" s="71" customFormat="1" ht="15" customHeight="1">
      <c r="A11" s="71" t="s">
        <v>6</v>
      </c>
      <c r="B11" s="6"/>
      <c r="C11" s="90"/>
      <c r="D11" s="90">
        <f t="shared" ref="D11:O11" si="16">D8*1000/((C9+D9)/2)</f>
        <v>36177.868295994565</v>
      </c>
      <c r="E11" s="90">
        <f t="shared" si="16"/>
        <v>36764.864864864867</v>
      </c>
      <c r="F11" s="90">
        <f t="shared" si="16"/>
        <v>34373.315363881404</v>
      </c>
      <c r="G11" s="90">
        <f t="shared" si="16"/>
        <v>33236.241610738252</v>
      </c>
      <c r="H11" s="90">
        <f t="shared" si="16"/>
        <v>36549.027237354087</v>
      </c>
      <c r="I11" s="90">
        <f t="shared" si="16"/>
        <v>35359.068627450979</v>
      </c>
      <c r="J11" s="90">
        <f t="shared" si="16"/>
        <v>35716.136631330977</v>
      </c>
      <c r="K11" s="90">
        <f t="shared" si="16"/>
        <v>32623.113378684808</v>
      </c>
      <c r="L11" s="90">
        <f t="shared" si="16"/>
        <v>35170.010787486513</v>
      </c>
      <c r="M11" s="90">
        <f t="shared" si="16"/>
        <v>35170.129327902243</v>
      </c>
      <c r="N11" s="90">
        <f t="shared" si="16"/>
        <v>35827.450980392154</v>
      </c>
      <c r="O11" s="90">
        <f t="shared" si="16"/>
        <v>36147.462022254476</v>
      </c>
      <c r="P11" s="90">
        <f t="shared" ref="P11" si="17">P8*1000/((O9+P9)/2)</f>
        <v>36164.308505526191</v>
      </c>
      <c r="Q11" s="90">
        <f t="shared" ref="Q11:R11" si="18">Q8*1000/((P9+Q9)/2)</f>
        <v>35301.008161305806</v>
      </c>
      <c r="R11" s="90">
        <f t="shared" si="18"/>
        <v>34200.085289889794</v>
      </c>
      <c r="S11" s="137">
        <v>35500</v>
      </c>
      <c r="T11" s="111">
        <f>S11/1.005</f>
        <v>35323.383084577115</v>
      </c>
      <c r="U11" s="111">
        <f>T11/1.005</f>
        <v>35147.644860275737</v>
      </c>
      <c r="V11" s="94">
        <f>U11</f>
        <v>35147.644860275737</v>
      </c>
      <c r="W11" s="94">
        <f t="shared" ref="W11:X11" si="19">V11</f>
        <v>35147.644860275737</v>
      </c>
      <c r="X11" s="94">
        <f t="shared" si="19"/>
        <v>35147.644860275737</v>
      </c>
      <c r="Y11" s="48"/>
    </row>
    <row r="12" spans="1:25" s="71" customFormat="1" ht="15" customHeight="1">
      <c r="B12" s="6"/>
      <c r="C12" s="90"/>
      <c r="D12" s="90"/>
      <c r="E12" s="90"/>
      <c r="F12" s="90"/>
      <c r="G12" s="90"/>
      <c r="H12" s="90"/>
      <c r="I12" s="90"/>
      <c r="J12" s="90"/>
      <c r="K12" s="63"/>
      <c r="L12" s="63"/>
      <c r="M12" s="229"/>
      <c r="N12" s="88"/>
      <c r="P12" s="88"/>
      <c r="Q12" s="88"/>
      <c r="S12" s="135"/>
      <c r="V12" s="90"/>
      <c r="Y12" s="50"/>
    </row>
    <row r="13" spans="1:25" s="71" customFormat="1" ht="15" customHeight="1">
      <c r="A13" s="71" t="s">
        <v>29</v>
      </c>
      <c r="B13" s="6">
        <f t="shared" ref="B13:B14" si="20">+B3+B8</f>
        <v>26612</v>
      </c>
      <c r="C13" s="90">
        <f t="shared" ref="C13:S14" si="21">+C3+C8</f>
        <v>29045</v>
      </c>
      <c r="D13" s="90">
        <f t="shared" si="21"/>
        <v>28060</v>
      </c>
      <c r="E13" s="90">
        <f t="shared" si="21"/>
        <v>28553</v>
      </c>
      <c r="F13" s="90">
        <f t="shared" si="21"/>
        <v>26810</v>
      </c>
      <c r="G13" s="90">
        <f t="shared" si="21"/>
        <v>26081</v>
      </c>
      <c r="H13" s="90">
        <f t="shared" si="21"/>
        <v>29691.5</v>
      </c>
      <c r="I13" s="90">
        <f t="shared" si="21"/>
        <v>30343</v>
      </c>
      <c r="J13" s="90">
        <f t="shared" si="21"/>
        <v>31147</v>
      </c>
      <c r="K13" s="90">
        <f t="shared" si="21"/>
        <v>29314.59</v>
      </c>
      <c r="L13" s="90">
        <f t="shared" si="21"/>
        <v>33207.93</v>
      </c>
      <c r="M13" s="90">
        <f t="shared" si="21"/>
        <v>35118.935000000005</v>
      </c>
      <c r="N13" s="90">
        <f t="shared" si="21"/>
        <v>37165</v>
      </c>
      <c r="O13" s="90">
        <f t="shared" si="21"/>
        <v>37982.995000000003</v>
      </c>
      <c r="P13" s="90">
        <f t="shared" si="21"/>
        <v>38226.409000000007</v>
      </c>
      <c r="Q13" s="90">
        <f t="shared" si="21"/>
        <v>37311</v>
      </c>
      <c r="R13" s="90">
        <f t="shared" ref="R13" si="22">+R3+R8</f>
        <v>36188.348999999995</v>
      </c>
      <c r="S13" s="137">
        <f t="shared" si="21"/>
        <v>37689.1</v>
      </c>
      <c r="T13" s="56">
        <f>+T3+T8</f>
        <v>37606.540547263685</v>
      </c>
      <c r="U13" s="56">
        <f>+U3+U8</f>
        <v>37523.846215440215</v>
      </c>
      <c r="V13" s="56">
        <f t="shared" ref="V13:W14" si="23">+V3+V8</f>
        <v>37625.589150021042</v>
      </c>
      <c r="W13" s="56">
        <f t="shared" si="23"/>
        <v>37727.332084601876</v>
      </c>
      <c r="X13" s="56">
        <f t="shared" ref="X13" si="24">+X3+X8</f>
        <v>37829.075019182696</v>
      </c>
      <c r="Y13" s="48"/>
    </row>
    <row r="14" spans="1:25" s="71" customFormat="1" ht="15" customHeight="1">
      <c r="A14" s="71" t="s">
        <v>8</v>
      </c>
      <c r="B14" s="6">
        <f t="shared" si="20"/>
        <v>928</v>
      </c>
      <c r="C14" s="90">
        <f t="shared" ref="C14:N14" si="25">+C4+C9</f>
        <v>921</v>
      </c>
      <c r="D14" s="90">
        <f t="shared" si="25"/>
        <v>925</v>
      </c>
      <c r="E14" s="90">
        <f t="shared" si="21"/>
        <v>927</v>
      </c>
      <c r="F14" s="90">
        <f t="shared" si="21"/>
        <v>928</v>
      </c>
      <c r="G14" s="90">
        <f t="shared" si="21"/>
        <v>933</v>
      </c>
      <c r="H14" s="90">
        <f t="shared" si="21"/>
        <v>979</v>
      </c>
      <c r="I14" s="90">
        <f t="shared" si="21"/>
        <v>1007</v>
      </c>
      <c r="J14" s="90">
        <f t="shared" si="21"/>
        <v>1018</v>
      </c>
      <c r="K14" s="90">
        <f t="shared" si="21"/>
        <v>1059</v>
      </c>
      <c r="L14" s="90">
        <f t="shared" si="21"/>
        <v>1105</v>
      </c>
      <c r="M14" s="90">
        <f t="shared" si="21"/>
        <v>1165</v>
      </c>
      <c r="N14" s="90">
        <f t="shared" si="25"/>
        <v>1178</v>
      </c>
      <c r="O14" s="90">
        <f t="shared" si="21"/>
        <v>1190</v>
      </c>
      <c r="P14" s="90">
        <f t="shared" ref="P14:Q14" si="26">+P4+P9</f>
        <v>1189</v>
      </c>
      <c r="Q14" s="90">
        <f t="shared" si="26"/>
        <v>1188</v>
      </c>
      <c r="R14" s="90">
        <f t="shared" ref="R14" si="27">+R4+R9</f>
        <v>1191</v>
      </c>
      <c r="S14" s="137">
        <f t="shared" si="21"/>
        <v>1193</v>
      </c>
      <c r="T14" s="56">
        <f>+T4+T9</f>
        <v>1195</v>
      </c>
      <c r="U14" s="56">
        <f>+U4+U9</f>
        <v>1197</v>
      </c>
      <c r="V14" s="56">
        <f t="shared" si="23"/>
        <v>1199</v>
      </c>
      <c r="W14" s="56">
        <f t="shared" si="23"/>
        <v>1201</v>
      </c>
      <c r="X14" s="56">
        <f t="shared" ref="X14" si="28">+X4+X9</f>
        <v>1203</v>
      </c>
      <c r="Y14" s="48"/>
    </row>
    <row r="15" spans="1:25" s="71" customFormat="1" ht="15" customHeight="1">
      <c r="A15" s="71" t="s">
        <v>7</v>
      </c>
      <c r="B15" s="6"/>
      <c r="C15" s="90"/>
      <c r="D15" s="90">
        <f t="shared" ref="D15:M15" si="29">D14-C14</f>
        <v>4</v>
      </c>
      <c r="E15" s="90">
        <f t="shared" si="29"/>
        <v>2</v>
      </c>
      <c r="F15" s="90">
        <f t="shared" si="29"/>
        <v>1</v>
      </c>
      <c r="G15" s="90">
        <f t="shared" si="29"/>
        <v>5</v>
      </c>
      <c r="H15" s="90">
        <f t="shared" si="29"/>
        <v>46</v>
      </c>
      <c r="I15" s="90">
        <f t="shared" si="29"/>
        <v>28</v>
      </c>
      <c r="J15" s="90">
        <f t="shared" si="29"/>
        <v>11</v>
      </c>
      <c r="K15" s="90">
        <f t="shared" si="29"/>
        <v>41</v>
      </c>
      <c r="L15" s="90">
        <f t="shared" si="29"/>
        <v>46</v>
      </c>
      <c r="M15" s="90">
        <f t="shared" si="29"/>
        <v>60</v>
      </c>
      <c r="N15" s="90">
        <f>N14-M14</f>
        <v>13</v>
      </c>
      <c r="O15" s="90">
        <f>O14-N14</f>
        <v>12</v>
      </c>
      <c r="P15" s="90">
        <f t="shared" ref="P15:R15" si="30">P14-O14</f>
        <v>-1</v>
      </c>
      <c r="Q15" s="90">
        <f t="shared" si="30"/>
        <v>-1</v>
      </c>
      <c r="R15" s="90">
        <f t="shared" si="30"/>
        <v>3</v>
      </c>
      <c r="S15" s="137">
        <f t="shared" ref="S15:X15" si="31">S14-R14</f>
        <v>2</v>
      </c>
      <c r="T15" s="56">
        <f t="shared" si="31"/>
        <v>2</v>
      </c>
      <c r="U15" s="56">
        <f t="shared" si="31"/>
        <v>2</v>
      </c>
      <c r="V15" s="56">
        <f t="shared" si="31"/>
        <v>2</v>
      </c>
      <c r="W15" s="56">
        <f t="shared" si="31"/>
        <v>2</v>
      </c>
      <c r="X15" s="56">
        <f t="shared" si="31"/>
        <v>2</v>
      </c>
      <c r="Y15" s="48"/>
    </row>
    <row r="16" spans="1:25" s="71" customFormat="1" ht="15" customHeight="1">
      <c r="A16" s="71" t="s">
        <v>6</v>
      </c>
      <c r="B16" s="6"/>
      <c r="C16" s="90"/>
      <c r="D16" s="90">
        <f t="shared" ref="D16:M16" si="32">D13*1000/((C14+D14)/2)</f>
        <v>30400.866738894907</v>
      </c>
      <c r="E16" s="90">
        <f t="shared" si="32"/>
        <v>30834.773218142549</v>
      </c>
      <c r="F16" s="90">
        <f t="shared" si="32"/>
        <v>28905.66037735849</v>
      </c>
      <c r="G16" s="90">
        <f t="shared" si="32"/>
        <v>28029.016657710908</v>
      </c>
      <c r="H16" s="90">
        <f t="shared" si="32"/>
        <v>31058.05439330544</v>
      </c>
      <c r="I16" s="90">
        <f t="shared" si="32"/>
        <v>30556.898288016113</v>
      </c>
      <c r="J16" s="90">
        <f t="shared" si="32"/>
        <v>30762.469135802468</v>
      </c>
      <c r="K16" s="90">
        <f t="shared" si="32"/>
        <v>28227.818969667791</v>
      </c>
      <c r="L16" s="90">
        <f t="shared" si="32"/>
        <v>30691.247689463955</v>
      </c>
      <c r="M16" s="90">
        <f t="shared" si="32"/>
        <v>30941.792951541858</v>
      </c>
      <c r="N16" s="90">
        <f>N13*1000/((M14+N14)/2)</f>
        <v>31724.285104566796</v>
      </c>
      <c r="O16" s="90">
        <f>O13*1000/((N14+O14)/2)</f>
        <v>32080.232263513513</v>
      </c>
      <c r="P16" s="90">
        <f t="shared" ref="P16:R16" si="33">P13*1000/((O14+P14)/2)</f>
        <v>32136.535519125689</v>
      </c>
      <c r="Q16" s="90">
        <f t="shared" si="33"/>
        <v>31393.352965923434</v>
      </c>
      <c r="R16" s="90">
        <f t="shared" si="33"/>
        <v>30423.160151324078</v>
      </c>
      <c r="S16" s="137">
        <f t="shared" ref="S16:X16" si="34">S13*1000/((R14+S14)/2)</f>
        <v>31618.372483221476</v>
      </c>
      <c r="T16" s="56">
        <f t="shared" si="34"/>
        <v>31496.265114961207</v>
      </c>
      <c r="U16" s="56">
        <f t="shared" si="34"/>
        <v>31374.453357391481</v>
      </c>
      <c r="V16" s="56">
        <f t="shared" si="34"/>
        <v>31407.002629399867</v>
      </c>
      <c r="W16" s="56">
        <f t="shared" si="34"/>
        <v>31439.443403834899</v>
      </c>
      <c r="X16" s="56">
        <f t="shared" si="34"/>
        <v>31471.776222281776</v>
      </c>
      <c r="Y16" s="48"/>
    </row>
    <row r="17" spans="1:25" s="71" customFormat="1" ht="15" customHeight="1">
      <c r="B17" s="4"/>
      <c r="C17" s="43"/>
      <c r="D17" s="43"/>
      <c r="E17" s="43"/>
      <c r="F17" s="43"/>
      <c r="G17" s="43"/>
      <c r="H17" s="43"/>
      <c r="I17" s="43"/>
      <c r="J17" s="43"/>
      <c r="K17" s="63"/>
      <c r="L17" s="63"/>
      <c r="M17" s="63"/>
      <c r="N17" s="63"/>
      <c r="O17" s="63"/>
      <c r="P17" s="63"/>
      <c r="Q17" s="63"/>
      <c r="R17" s="63"/>
      <c r="S17" s="138"/>
      <c r="T17" s="63"/>
      <c r="U17" s="63"/>
      <c r="V17" s="63"/>
      <c r="Y17" s="50"/>
    </row>
    <row r="18" spans="1:25" s="71" customFormat="1" ht="15" customHeight="1">
      <c r="A18" s="199" t="s">
        <v>23</v>
      </c>
      <c r="B18" s="4">
        <v>791</v>
      </c>
      <c r="C18" s="43">
        <v>700</v>
      </c>
      <c r="D18" s="43">
        <v>680</v>
      </c>
      <c r="E18" s="43">
        <v>609</v>
      </c>
      <c r="F18" s="43">
        <v>535</v>
      </c>
      <c r="G18" s="43">
        <v>612</v>
      </c>
      <c r="H18" s="43">
        <v>774.9</v>
      </c>
      <c r="I18" s="43">
        <v>792</v>
      </c>
      <c r="J18" s="43">
        <v>692</v>
      </c>
      <c r="K18" s="43">
        <v>804.91399999999999</v>
      </c>
      <c r="L18" s="43">
        <v>876</v>
      </c>
      <c r="M18" s="43">
        <v>1217.807</v>
      </c>
      <c r="N18" s="43">
        <v>1337</v>
      </c>
      <c r="O18" s="43">
        <v>1268.0540000000001</v>
      </c>
      <c r="P18" s="43">
        <v>1048.4749999999999</v>
      </c>
      <c r="Q18" s="43">
        <v>994</v>
      </c>
      <c r="R18" s="43">
        <v>1072.4670000000001</v>
      </c>
      <c r="S18" s="137">
        <f>($Q18)/($Q$18+$Q$21)*'Small GS'!T16</f>
        <v>1011.0456553838594</v>
      </c>
      <c r="T18" s="56">
        <f>($Q18)/($Q$18+$Q$21)*'Small GS'!U16</f>
        <v>1019.541837361875</v>
      </c>
      <c r="U18" s="56">
        <f>($Q18)/($Q$18+$Q$21)*'Small GS'!V16</f>
        <v>1028.0380193398908</v>
      </c>
      <c r="V18" s="56">
        <f>($Q18)/($Q$18+$Q$21)*'Small GS'!W16</f>
        <v>1036.5342013179063</v>
      </c>
      <c r="W18" s="56">
        <f>($Q18)/($Q$18+$Q$21)*'Small GS'!X16</f>
        <v>1045.0303832959219</v>
      </c>
      <c r="X18" s="56">
        <f>($Q18)/($Q$18+$Q$21)*'Small GS'!Y16</f>
        <v>1053.5265652739374</v>
      </c>
      <c r="Y18" s="48"/>
    </row>
    <row r="19" spans="1:25" s="71" customFormat="1" ht="15" customHeight="1">
      <c r="A19" s="71" t="s">
        <v>0</v>
      </c>
      <c r="B19" s="4">
        <v>51</v>
      </c>
      <c r="C19" s="43">
        <v>54</v>
      </c>
      <c r="D19" s="43">
        <v>52</v>
      </c>
      <c r="E19" s="43">
        <v>49</v>
      </c>
      <c r="F19" s="43">
        <v>56</v>
      </c>
      <c r="G19" s="43">
        <v>66</v>
      </c>
      <c r="H19" s="43">
        <v>70</v>
      </c>
      <c r="I19" s="43">
        <v>80</v>
      </c>
      <c r="J19" s="43">
        <v>79</v>
      </c>
      <c r="K19" s="43">
        <v>83</v>
      </c>
      <c r="L19" s="43">
        <v>91</v>
      </c>
      <c r="M19" s="43">
        <v>97</v>
      </c>
      <c r="N19" s="43">
        <v>99</v>
      </c>
      <c r="O19" s="43">
        <v>98</v>
      </c>
      <c r="P19" s="43">
        <v>98</v>
      </c>
      <c r="Q19" s="43">
        <v>100</v>
      </c>
      <c r="R19" s="43">
        <v>101</v>
      </c>
      <c r="S19" s="137">
        <f>MROUND($Q19/($Q22+$Q19)*'Small GS'!T17,1)</f>
        <v>102</v>
      </c>
      <c r="T19" s="56">
        <f>MROUND($Q19/($Q22+$Q19)*'Small GS'!U17,1)</f>
        <v>103</v>
      </c>
      <c r="U19" s="56">
        <f>MROUND($Q19/($Q22+$Q19)*'Small GS'!V17,1)</f>
        <v>103</v>
      </c>
      <c r="V19" s="56">
        <f>MROUND($Q19/($Q22+$Q19)*'Small GS'!W17,1)</f>
        <v>104</v>
      </c>
      <c r="W19" s="56">
        <f>MROUND($Q19/($Q22+$Q19)*'Small GS'!X17,1)</f>
        <v>105</v>
      </c>
      <c r="X19" s="56">
        <f>MROUND($Q19/($Q22+$Q19)*'Small GS'!Y17,1)</f>
        <v>106</v>
      </c>
      <c r="Y19" s="48"/>
    </row>
    <row r="20" spans="1:25" s="71" customFormat="1" ht="15" customHeight="1">
      <c r="B20" s="5"/>
      <c r="C20" s="89"/>
      <c r="D20" s="90"/>
      <c r="E20" s="90"/>
      <c r="F20" s="90"/>
      <c r="G20" s="90"/>
      <c r="H20" s="90"/>
      <c r="I20" s="90"/>
      <c r="J20" s="90"/>
      <c r="K20" s="230">
        <f t="shared" ref="K20:L20" si="35">K18/(K18+K21)</f>
        <v>7.3450279889153966E-2</v>
      </c>
      <c r="L20" s="230">
        <f t="shared" si="35"/>
        <v>6.8544600938967137E-2</v>
      </c>
      <c r="M20" s="230">
        <f>M18/(M18+M21)</f>
        <v>8.3871756427571317E-2</v>
      </c>
      <c r="N20" s="230">
        <f t="shared" ref="N20:R20" si="36">N18/(N18+N21)</f>
        <v>8.6302607797572942E-2</v>
      </c>
      <c r="O20" s="231">
        <f t="shared" si="36"/>
        <v>6.9090853218265275E-2</v>
      </c>
      <c r="P20" s="231">
        <f t="shared" si="36"/>
        <v>6.9029827653725215E-2</v>
      </c>
      <c r="Q20" s="231">
        <f t="shared" si="36"/>
        <v>5.9064709727256519E-2</v>
      </c>
      <c r="R20" s="231">
        <f t="shared" si="36"/>
        <v>5.9618224826493121E-2</v>
      </c>
      <c r="S20" s="172"/>
      <c r="T20" s="89"/>
      <c r="U20" s="89"/>
      <c r="V20" s="89"/>
      <c r="W20" s="89"/>
      <c r="X20" s="89"/>
      <c r="Y20" s="173"/>
    </row>
    <row r="21" spans="1:25" s="71" customFormat="1" ht="21.75" customHeight="1">
      <c r="A21" s="199" t="s">
        <v>24</v>
      </c>
      <c r="B21" s="4">
        <v>10957</v>
      </c>
      <c r="C21" s="43">
        <v>11745</v>
      </c>
      <c r="D21" s="43">
        <v>11540</v>
      </c>
      <c r="E21" s="43">
        <v>12445</v>
      </c>
      <c r="F21" s="43">
        <v>11270</v>
      </c>
      <c r="G21" s="43">
        <v>10451</v>
      </c>
      <c r="H21" s="43">
        <v>10794.8</v>
      </c>
      <c r="I21" s="43">
        <v>10704</v>
      </c>
      <c r="J21" s="43">
        <v>11348</v>
      </c>
      <c r="K21" s="43">
        <v>10153.709999999999</v>
      </c>
      <c r="L21" s="43">
        <v>11904</v>
      </c>
      <c r="M21" s="43">
        <v>13302.063</v>
      </c>
      <c r="N21" s="43">
        <v>14155</v>
      </c>
      <c r="O21" s="43">
        <v>17085.374</v>
      </c>
      <c r="P21" s="43">
        <v>14140.249</v>
      </c>
      <c r="Q21" s="43">
        <v>15835</v>
      </c>
      <c r="R21" s="43">
        <v>16916.445</v>
      </c>
      <c r="S21" s="137">
        <f>($Q21)/($Q$18+$Q$21)*'Small GS'!T16</f>
        <v>16106.547236421946</v>
      </c>
      <c r="T21" s="56">
        <f>($Q21)/($Q$18+$Q$21)*'Small GS'!U16</f>
        <v>16241.896372862464</v>
      </c>
      <c r="U21" s="56">
        <f>($Q21)/($Q$18+$Q$21)*'Small GS'!V16</f>
        <v>16377.245509302988</v>
      </c>
      <c r="V21" s="56">
        <f>($Q21)/($Q$18+$Q$21)*'Small GS'!W16</f>
        <v>16512.594645743506</v>
      </c>
      <c r="W21" s="56">
        <f>($Q21)/($Q$18+$Q$21)*'Small GS'!X16</f>
        <v>16647.943782184029</v>
      </c>
      <c r="X21" s="56">
        <f>($Q21)/($Q$18+$Q$21)*'Small GS'!Y16</f>
        <v>16783.292918624549</v>
      </c>
      <c r="Y21" s="48"/>
    </row>
    <row r="22" spans="1:25" s="71" customFormat="1" ht="15" customHeight="1">
      <c r="A22" s="71" t="s">
        <v>0</v>
      </c>
      <c r="B22" s="4">
        <v>106</v>
      </c>
      <c r="C22" s="43">
        <v>104</v>
      </c>
      <c r="D22" s="43">
        <v>105</v>
      </c>
      <c r="E22" s="43">
        <v>108</v>
      </c>
      <c r="F22" s="43">
        <v>102</v>
      </c>
      <c r="G22" s="43">
        <v>97</v>
      </c>
      <c r="H22" s="43">
        <v>97</v>
      </c>
      <c r="I22" s="43">
        <v>105</v>
      </c>
      <c r="J22" s="43">
        <v>108</v>
      </c>
      <c r="K22" s="43">
        <v>107</v>
      </c>
      <c r="L22" s="43">
        <v>106</v>
      </c>
      <c r="M22" s="43">
        <v>121</v>
      </c>
      <c r="N22" s="43">
        <v>123</v>
      </c>
      <c r="O22" s="43">
        <v>132</v>
      </c>
      <c r="P22" s="43">
        <v>128</v>
      </c>
      <c r="Q22" s="43">
        <v>134</v>
      </c>
      <c r="R22" s="43">
        <v>135</v>
      </c>
      <c r="S22" s="137">
        <f>MROUND($Q22/($Q19+$Q22)*'Small GS'!T17,1)</f>
        <v>136</v>
      </c>
      <c r="T22" s="56">
        <f>MROUND($Q22/($Q19+$Q22)*'Small GS'!U17,1)</f>
        <v>137</v>
      </c>
      <c r="U22" s="56">
        <f>MROUND($Q22/($Q19+$Q22)*'Small GS'!V17,1)</f>
        <v>139</v>
      </c>
      <c r="V22" s="56">
        <f>MROUND($Q22/($Q19+$Q22)*'Small GS'!W17,1)</f>
        <v>140</v>
      </c>
      <c r="W22" s="56">
        <f>MROUND($Q22/($Q19+$Q22)*'Small GS'!X17,1)</f>
        <v>141</v>
      </c>
      <c r="X22" s="56">
        <f>MROUND($Q22/($Q19+$Q22)*'Small GS'!Y17,1)</f>
        <v>142</v>
      </c>
      <c r="Y22" s="48"/>
    </row>
    <row r="23" spans="1:25" s="71" customFormat="1" ht="15" customHeight="1">
      <c r="B23" s="6"/>
      <c r="C23" s="90"/>
      <c r="D23" s="90"/>
      <c r="E23" s="90"/>
      <c r="F23" s="90"/>
      <c r="G23" s="90"/>
      <c r="H23" s="90"/>
      <c r="I23" s="90"/>
      <c r="J23" s="90"/>
      <c r="K23" s="230">
        <f>K19/(K19+K22)</f>
        <v>0.43684210526315792</v>
      </c>
      <c r="L23" s="230">
        <f t="shared" ref="L23:R23" si="37">L19/(L19+L22)</f>
        <v>0.46192893401015228</v>
      </c>
      <c r="M23" s="230">
        <f t="shared" si="37"/>
        <v>0.44495412844036697</v>
      </c>
      <c r="N23" s="230">
        <f t="shared" si="37"/>
        <v>0.44594594594594594</v>
      </c>
      <c r="O23" s="230">
        <f t="shared" si="37"/>
        <v>0.42608695652173911</v>
      </c>
      <c r="P23" s="230">
        <f t="shared" si="37"/>
        <v>0.4336283185840708</v>
      </c>
      <c r="Q23" s="230">
        <f t="shared" si="37"/>
        <v>0.42735042735042733</v>
      </c>
      <c r="R23" s="230">
        <f t="shared" si="37"/>
        <v>0.42796610169491528</v>
      </c>
      <c r="S23" s="139"/>
      <c r="T23" s="90"/>
      <c r="U23" s="90"/>
      <c r="V23" s="90"/>
      <c r="W23" s="90"/>
      <c r="X23" s="90"/>
      <c r="Y23" s="66"/>
    </row>
    <row r="24" spans="1:25" s="71" customFormat="1" ht="22.5" customHeight="1">
      <c r="A24" s="199" t="s">
        <v>25</v>
      </c>
      <c r="B24" s="4">
        <v>15231</v>
      </c>
      <c r="C24" s="43">
        <v>16358</v>
      </c>
      <c r="D24" s="43">
        <v>15803</v>
      </c>
      <c r="E24" s="43">
        <v>16215</v>
      </c>
      <c r="F24" s="43">
        <v>16203</v>
      </c>
      <c r="G24" s="43">
        <v>16122</v>
      </c>
      <c r="H24" s="43">
        <v>18978.2</v>
      </c>
      <c r="I24" s="43">
        <v>20436</v>
      </c>
      <c r="J24" s="43">
        <v>21280</v>
      </c>
      <c r="K24" s="43">
        <v>18860.126</v>
      </c>
      <c r="L24" s="43">
        <v>21625</v>
      </c>
      <c r="M24" s="43">
        <v>25075.868999999999</v>
      </c>
      <c r="N24" s="43">
        <v>24283</v>
      </c>
      <c r="O24" s="43">
        <v>32583.761999999999</v>
      </c>
      <c r="P24" s="43">
        <v>30111.100999999999</v>
      </c>
      <c r="Q24" s="43">
        <v>27923</v>
      </c>
      <c r="R24" s="43">
        <v>28964.205000000002</v>
      </c>
      <c r="S24" s="137">
        <f>S25*AVERAGE($Q26:$R26)</f>
        <v>29150.046524390247</v>
      </c>
      <c r="T24" s="56">
        <f>T25*AVERAGE($Q26:$R26)</f>
        <v>29150.046524390247</v>
      </c>
      <c r="U24" s="56">
        <f t="shared" ref="U24:X24" si="38">U25*AVERAGE($Q26:$R26)</f>
        <v>29150.046524390247</v>
      </c>
      <c r="V24" s="56">
        <f t="shared" si="38"/>
        <v>29150.046524390247</v>
      </c>
      <c r="W24" s="56">
        <f t="shared" si="38"/>
        <v>29150.046524390247</v>
      </c>
      <c r="X24" s="56">
        <f t="shared" si="38"/>
        <v>29150.046524390247</v>
      </c>
      <c r="Y24" s="48"/>
    </row>
    <row r="25" spans="1:25" s="71" customFormat="1" ht="15" customHeight="1">
      <c r="A25" s="71" t="s">
        <v>0</v>
      </c>
      <c r="B25" s="4">
        <v>24</v>
      </c>
      <c r="C25" s="43">
        <v>27</v>
      </c>
      <c r="D25" s="43">
        <v>27</v>
      </c>
      <c r="E25" s="43">
        <v>29</v>
      </c>
      <c r="F25" s="43">
        <v>29</v>
      </c>
      <c r="G25" s="43">
        <v>31</v>
      </c>
      <c r="H25" s="43">
        <v>35</v>
      </c>
      <c r="I25" s="43">
        <v>36</v>
      </c>
      <c r="J25" s="43">
        <v>33</v>
      </c>
      <c r="K25" s="43">
        <v>35</v>
      </c>
      <c r="L25" s="43">
        <v>38</v>
      </c>
      <c r="M25" s="43">
        <v>42</v>
      </c>
      <c r="N25" s="43">
        <v>42</v>
      </c>
      <c r="O25" s="43">
        <v>47</v>
      </c>
      <c r="P25" s="43">
        <v>47</v>
      </c>
      <c r="Q25" s="43">
        <v>43</v>
      </c>
      <c r="R25" s="43">
        <v>41</v>
      </c>
      <c r="S25" s="140">
        <v>43</v>
      </c>
      <c r="T25" s="94">
        <f t="shared" ref="T25:X25" si="39">+S25</f>
        <v>43</v>
      </c>
      <c r="U25" s="94">
        <f t="shared" si="39"/>
        <v>43</v>
      </c>
      <c r="V25" s="94">
        <f t="shared" si="39"/>
        <v>43</v>
      </c>
      <c r="W25" s="94">
        <f t="shared" si="39"/>
        <v>43</v>
      </c>
      <c r="X25" s="94">
        <f t="shared" si="39"/>
        <v>43</v>
      </c>
      <c r="Y25" s="64"/>
    </row>
    <row r="26" spans="1:25" s="71" customFormat="1" ht="15" customHeight="1">
      <c r="B26" s="79"/>
      <c r="C26" s="94"/>
      <c r="D26" s="94"/>
      <c r="E26" s="94"/>
      <c r="F26" s="94"/>
      <c r="G26" s="94"/>
      <c r="H26" s="94">
        <f>+H24/H25</f>
        <v>542.23428571428576</v>
      </c>
      <c r="I26" s="94">
        <f>+I24/I25</f>
        <v>567.66666666666663</v>
      </c>
      <c r="J26" s="94">
        <f>+J24/J25</f>
        <v>644.84848484848487</v>
      </c>
      <c r="K26" s="94">
        <f t="shared" ref="K26:R26" si="40">+K24/K25</f>
        <v>538.8607428571429</v>
      </c>
      <c r="L26" s="94">
        <f t="shared" si="40"/>
        <v>569.07894736842104</v>
      </c>
      <c r="M26" s="94">
        <f t="shared" si="40"/>
        <v>597.04449999999997</v>
      </c>
      <c r="N26" s="94">
        <f t="shared" si="40"/>
        <v>578.16666666666663</v>
      </c>
      <c r="O26" s="94">
        <f t="shared" si="40"/>
        <v>693.27153191489356</v>
      </c>
      <c r="P26" s="94">
        <f t="shared" si="40"/>
        <v>640.66172340425533</v>
      </c>
      <c r="Q26" s="94">
        <f t="shared" si="40"/>
        <v>649.37209302325584</v>
      </c>
      <c r="R26" s="94">
        <f t="shared" si="40"/>
        <v>706.44402439024395</v>
      </c>
      <c r="S26" s="138"/>
      <c r="T26" s="63"/>
      <c r="U26" s="63"/>
      <c r="V26" s="43"/>
      <c r="W26" s="63"/>
      <c r="X26" s="63"/>
      <c r="Y26" s="49"/>
    </row>
    <row r="27" spans="1:25" s="71" customFormat="1" ht="21.75" customHeight="1">
      <c r="A27" s="199" t="s">
        <v>26</v>
      </c>
      <c r="B27" s="4"/>
      <c r="C27" s="43"/>
      <c r="D27" s="43"/>
      <c r="E27" s="43"/>
      <c r="F27" s="43"/>
      <c r="G27" s="43"/>
      <c r="H27" s="43"/>
      <c r="I27" s="43"/>
      <c r="J27" s="43"/>
      <c r="K27" s="63"/>
      <c r="L27" s="63"/>
      <c r="M27" s="63"/>
      <c r="N27" s="43"/>
      <c r="O27" s="94"/>
      <c r="P27" s="43"/>
      <c r="Q27" s="204"/>
      <c r="R27" s="43">
        <v>0</v>
      </c>
      <c r="S27" s="141">
        <v>0</v>
      </c>
      <c r="T27" s="111">
        <v>0</v>
      </c>
      <c r="U27" s="111">
        <v>0</v>
      </c>
      <c r="V27" s="111">
        <v>0</v>
      </c>
      <c r="W27" s="111">
        <v>0</v>
      </c>
      <c r="X27" s="111">
        <v>0</v>
      </c>
      <c r="Y27" s="111"/>
    </row>
    <row r="28" spans="1:25" s="71" customFormat="1" ht="15" customHeight="1">
      <c r="A28" s="71" t="s">
        <v>0</v>
      </c>
      <c r="B28" s="4"/>
      <c r="C28" s="43"/>
      <c r="D28" s="43"/>
      <c r="E28" s="43"/>
      <c r="F28" s="43"/>
      <c r="G28" s="43"/>
      <c r="H28" s="43"/>
      <c r="I28" s="43"/>
      <c r="J28" s="43"/>
      <c r="K28" s="63"/>
      <c r="L28" s="63"/>
      <c r="M28" s="63"/>
      <c r="N28" s="43"/>
      <c r="O28" s="63"/>
      <c r="P28" s="43"/>
      <c r="Q28" s="43"/>
      <c r="R28" s="43">
        <v>0</v>
      </c>
      <c r="S28" s="138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3"/>
    </row>
    <row r="29" spans="1:25" s="71" customFormat="1" ht="15" customHeight="1">
      <c r="B29" s="6"/>
      <c r="C29" s="89"/>
      <c r="D29" s="90"/>
      <c r="E29" s="90"/>
      <c r="F29" s="90"/>
      <c r="G29" s="90"/>
      <c r="H29" s="90"/>
      <c r="I29" s="90"/>
      <c r="J29" s="90"/>
      <c r="K29" s="63"/>
      <c r="L29" s="63"/>
      <c r="M29" s="63"/>
      <c r="N29" s="43"/>
      <c r="O29" s="63"/>
      <c r="P29" s="43"/>
      <c r="Q29" s="43"/>
      <c r="R29" s="63"/>
      <c r="S29" s="138"/>
      <c r="T29" s="82"/>
      <c r="U29" s="82"/>
      <c r="V29" s="43"/>
      <c r="Y29" s="50"/>
    </row>
    <row r="30" spans="1:25" s="71" customFormat="1" ht="15" customHeight="1">
      <c r="A30" s="199" t="s">
        <v>15</v>
      </c>
      <c r="B30" s="6">
        <v>26979</v>
      </c>
      <c r="C30" s="90">
        <f t="shared" ref="C30:O31" si="41">SUM(C18,C21,C24,C27)</f>
        <v>28803</v>
      </c>
      <c r="D30" s="90">
        <f t="shared" si="41"/>
        <v>28023</v>
      </c>
      <c r="E30" s="90">
        <f>SUM(E18,E21,E24,E27)</f>
        <v>29269</v>
      </c>
      <c r="F30" s="90">
        <f t="shared" si="41"/>
        <v>28008</v>
      </c>
      <c r="G30" s="90">
        <f t="shared" si="41"/>
        <v>27185</v>
      </c>
      <c r="H30" s="90">
        <f t="shared" si="41"/>
        <v>30547.9</v>
      </c>
      <c r="I30" s="90">
        <f t="shared" si="41"/>
        <v>31932</v>
      </c>
      <c r="J30" s="90">
        <f t="shared" si="41"/>
        <v>33320</v>
      </c>
      <c r="K30" s="90">
        <f t="shared" si="41"/>
        <v>29818.75</v>
      </c>
      <c r="L30" s="90">
        <f t="shared" si="41"/>
        <v>34405</v>
      </c>
      <c r="M30" s="90">
        <f t="shared" si="41"/>
        <v>39595.739000000001</v>
      </c>
      <c r="N30" s="90">
        <f t="shared" ref="N30:S30" si="42">SUM(N24,N21,N18,N27)</f>
        <v>39775</v>
      </c>
      <c r="O30" s="90">
        <f t="shared" si="42"/>
        <v>50937.19</v>
      </c>
      <c r="P30" s="90">
        <f t="shared" ref="P30:Q30" si="43">SUM(P24,P21,P18,P27)</f>
        <v>45299.824999999997</v>
      </c>
      <c r="Q30" s="90">
        <f t="shared" si="43"/>
        <v>44752</v>
      </c>
      <c r="R30" s="90">
        <f t="shared" ref="R30" si="44">SUM(R24,R21,R18,R27)</f>
        <v>46953.116999999998</v>
      </c>
      <c r="S30" s="137">
        <f t="shared" si="42"/>
        <v>46267.639416196049</v>
      </c>
      <c r="T30" s="56">
        <f>SUM(T24,T21,T18,T27)</f>
        <v>46411.484734614583</v>
      </c>
      <c r="U30" s="56">
        <f>SUM(U24,U21,U18,U27)</f>
        <v>46555.330053033125</v>
      </c>
      <c r="V30" s="56">
        <f t="shared" ref="V30:W30" si="45">SUM(V24,V21,V18,V27)</f>
        <v>46699.175371451653</v>
      </c>
      <c r="W30" s="56">
        <f t="shared" si="45"/>
        <v>46843.020689870202</v>
      </c>
      <c r="X30" s="56">
        <f t="shared" ref="X30" si="46">SUM(X24,X21,X18,X27)</f>
        <v>46986.866008288736</v>
      </c>
      <c r="Y30" s="48"/>
    </row>
    <row r="31" spans="1:25" s="71" customFormat="1" ht="15" customHeight="1">
      <c r="A31" s="199" t="s">
        <v>16</v>
      </c>
      <c r="B31" s="6">
        <v>181</v>
      </c>
      <c r="C31" s="90">
        <f t="shared" si="41"/>
        <v>185</v>
      </c>
      <c r="D31" s="90">
        <f t="shared" si="41"/>
        <v>184</v>
      </c>
      <c r="E31" s="90">
        <f>SUM(E19,E22,E25,E28)</f>
        <v>186</v>
      </c>
      <c r="F31" s="90">
        <f t="shared" si="41"/>
        <v>187</v>
      </c>
      <c r="G31" s="90">
        <f t="shared" si="41"/>
        <v>194</v>
      </c>
      <c r="H31" s="90">
        <f t="shared" si="41"/>
        <v>202</v>
      </c>
      <c r="I31" s="90">
        <f t="shared" si="41"/>
        <v>221</v>
      </c>
      <c r="J31" s="90">
        <f t="shared" si="41"/>
        <v>220</v>
      </c>
      <c r="K31" s="90">
        <f t="shared" si="41"/>
        <v>225</v>
      </c>
      <c r="L31" s="90">
        <f t="shared" si="41"/>
        <v>235</v>
      </c>
      <c r="M31" s="90">
        <f t="shared" si="41"/>
        <v>260</v>
      </c>
      <c r="N31" s="90">
        <f t="shared" si="41"/>
        <v>264</v>
      </c>
      <c r="O31" s="90">
        <f t="shared" si="41"/>
        <v>277</v>
      </c>
      <c r="P31" s="90">
        <f t="shared" ref="P31:Q31" si="47">SUM(P19,P22,P25,P28)</f>
        <v>273</v>
      </c>
      <c r="Q31" s="90">
        <f t="shared" si="47"/>
        <v>277</v>
      </c>
      <c r="R31" s="90">
        <f t="shared" ref="R31" si="48">SUM(R19,R22,R25,R28)</f>
        <v>277</v>
      </c>
      <c r="S31" s="137">
        <f t="shared" ref="S31" si="49">SUM(S19,S22,S25,S28)</f>
        <v>281</v>
      </c>
      <c r="T31" s="56">
        <f>SUM(T19,T22,T25,T28)</f>
        <v>283</v>
      </c>
      <c r="U31" s="56">
        <f>SUM(U19,U22,U25,U28)</f>
        <v>285</v>
      </c>
      <c r="V31" s="56">
        <f t="shared" ref="V31:W31" si="50">SUM(V19,V22,V25,V28)</f>
        <v>287</v>
      </c>
      <c r="W31" s="56">
        <f t="shared" si="50"/>
        <v>289</v>
      </c>
      <c r="X31" s="56">
        <f t="shared" ref="X31" si="51">SUM(X19,X22,X25,X28)</f>
        <v>291</v>
      </c>
      <c r="Y31" s="48"/>
    </row>
    <row r="32" spans="1:25" s="71" customFormat="1" ht="15" customHeight="1">
      <c r="B32" s="6"/>
      <c r="C32" s="90"/>
      <c r="D32" s="90"/>
      <c r="E32" s="90"/>
      <c r="F32" s="90"/>
      <c r="G32" s="90"/>
      <c r="H32" s="90"/>
      <c r="I32" s="90"/>
      <c r="J32" s="90"/>
      <c r="K32" s="63"/>
      <c r="L32" s="63"/>
      <c r="M32" s="63"/>
      <c r="N32" s="90"/>
      <c r="O32" s="56"/>
      <c r="P32" s="43"/>
      <c r="Q32" s="90"/>
      <c r="R32" s="56"/>
      <c r="S32" s="137"/>
      <c r="T32" s="56"/>
      <c r="U32" s="56"/>
      <c r="V32" s="56"/>
      <c r="W32" s="56"/>
      <c r="X32" s="56"/>
      <c r="Y32" s="48"/>
    </row>
    <row r="33" spans="1:25" s="71" customFormat="1" ht="15" customHeight="1">
      <c r="A33" s="71" t="s">
        <v>2</v>
      </c>
      <c r="B33" s="4">
        <v>196</v>
      </c>
      <c r="C33" s="43">
        <v>196</v>
      </c>
      <c r="D33" s="43">
        <v>193</v>
      </c>
      <c r="E33" s="43">
        <v>192</v>
      </c>
      <c r="F33" s="43">
        <v>193</v>
      </c>
      <c r="G33" s="43">
        <v>196</v>
      </c>
      <c r="H33" s="43">
        <v>200.3</v>
      </c>
      <c r="I33" s="43">
        <v>201</v>
      </c>
      <c r="J33" s="43">
        <v>203</v>
      </c>
      <c r="K33" s="43">
        <v>203</v>
      </c>
      <c r="L33" s="43">
        <v>203</v>
      </c>
      <c r="M33" s="43">
        <v>207.28800000000001</v>
      </c>
      <c r="N33" s="43">
        <v>216</v>
      </c>
      <c r="O33" s="43">
        <v>226.92400000000001</v>
      </c>
      <c r="P33" s="43">
        <v>243.327</v>
      </c>
      <c r="Q33" s="43">
        <v>244</v>
      </c>
      <c r="R33" s="43">
        <v>246.56700000000001</v>
      </c>
      <c r="S33" s="140">
        <f t="shared" ref="S33:X33" si="52">R33/R34*S34</f>
        <v>246.56700000000001</v>
      </c>
      <c r="T33" s="94">
        <f t="shared" si="52"/>
        <v>246.56700000000001</v>
      </c>
      <c r="U33" s="94">
        <f>T33/T34*U34</f>
        <v>246.56700000000001</v>
      </c>
      <c r="V33" s="94">
        <f t="shared" si="52"/>
        <v>254.27221875000001</v>
      </c>
      <c r="W33" s="94">
        <f t="shared" si="52"/>
        <v>254.27221875000001</v>
      </c>
      <c r="X33" s="94">
        <f t="shared" si="52"/>
        <v>254.27221875000001</v>
      </c>
      <c r="Y33" s="232"/>
    </row>
    <row r="34" spans="1:25" s="71" customFormat="1" ht="15" customHeight="1">
      <c r="A34" s="71" t="s">
        <v>0</v>
      </c>
      <c r="B34" s="4">
        <v>23</v>
      </c>
      <c r="C34" s="43">
        <v>24</v>
      </c>
      <c r="D34" s="43">
        <v>25</v>
      </c>
      <c r="E34" s="43">
        <v>26</v>
      </c>
      <c r="F34" s="43">
        <v>27</v>
      </c>
      <c r="G34" s="43">
        <v>28</v>
      </c>
      <c r="H34" s="43">
        <f>+F34+1</f>
        <v>28</v>
      </c>
      <c r="I34" s="43">
        <f>+F34+1</f>
        <v>28</v>
      </c>
      <c r="J34" s="43">
        <v>30</v>
      </c>
      <c r="K34" s="43">
        <v>31</v>
      </c>
      <c r="L34" s="43">
        <v>31</v>
      </c>
      <c r="M34" s="43">
        <v>31</v>
      </c>
      <c r="N34" s="43">
        <v>30</v>
      </c>
      <c r="O34" s="43">
        <v>32</v>
      </c>
      <c r="P34" s="43">
        <v>31</v>
      </c>
      <c r="Q34" s="43">
        <v>31</v>
      </c>
      <c r="R34" s="43">
        <v>32</v>
      </c>
      <c r="S34" s="140">
        <f>R34</f>
        <v>32</v>
      </c>
      <c r="T34" s="94">
        <v>32</v>
      </c>
      <c r="U34" s="94">
        <v>32</v>
      </c>
      <c r="V34" s="94">
        <v>33</v>
      </c>
      <c r="W34" s="94">
        <v>33</v>
      </c>
      <c r="X34" s="94">
        <v>33</v>
      </c>
      <c r="Y34" s="232"/>
    </row>
    <row r="35" spans="1:25" s="71" customFormat="1" ht="15" customHeight="1">
      <c r="B35" s="4"/>
      <c r="C35" s="233"/>
      <c r="D35" s="43"/>
      <c r="E35" s="43"/>
      <c r="F35" s="43"/>
      <c r="G35" s="81"/>
      <c r="H35" s="81"/>
      <c r="I35" s="81"/>
      <c r="J35" s="81"/>
      <c r="K35" s="81"/>
      <c r="L35" s="81"/>
      <c r="M35" s="81"/>
      <c r="N35" s="233"/>
      <c r="O35" s="81"/>
      <c r="P35" s="233"/>
      <c r="Q35" s="233"/>
      <c r="R35" s="81"/>
      <c r="S35" s="142"/>
      <c r="T35" s="81"/>
      <c r="U35" s="81"/>
      <c r="V35" s="43"/>
      <c r="Y35" s="50"/>
    </row>
    <row r="36" spans="1:25" s="71" customFormat="1" ht="15" customHeight="1">
      <c r="B36" s="1"/>
      <c r="N36" s="88"/>
      <c r="P36" s="88"/>
      <c r="Q36" s="88"/>
      <c r="S36" s="135"/>
      <c r="Y36" s="50"/>
    </row>
    <row r="37" spans="1:25" s="71" customFormat="1" ht="15" customHeight="1">
      <c r="A37" s="71" t="s">
        <v>1</v>
      </c>
      <c r="B37" s="6">
        <f t="shared" ref="B37:B38" si="53">SUM(B3,B8,B30,B33)</f>
        <v>53787</v>
      </c>
      <c r="C37" s="90">
        <f t="shared" ref="C37:W38" si="54">SUM(C3,C8,C18,C21,C24,C27,C33)</f>
        <v>58044</v>
      </c>
      <c r="D37" s="90">
        <f t="shared" si="54"/>
        <v>56276</v>
      </c>
      <c r="E37" s="90">
        <f t="shared" si="54"/>
        <v>58014</v>
      </c>
      <c r="F37" s="90">
        <f t="shared" si="54"/>
        <v>55011</v>
      </c>
      <c r="G37" s="90">
        <f t="shared" si="54"/>
        <v>53462</v>
      </c>
      <c r="H37" s="90">
        <f t="shared" si="54"/>
        <v>60439.7</v>
      </c>
      <c r="I37" s="90">
        <f t="shared" si="54"/>
        <v>62476</v>
      </c>
      <c r="J37" s="90">
        <f t="shared" si="54"/>
        <v>64670</v>
      </c>
      <c r="K37" s="90">
        <f t="shared" si="54"/>
        <v>59336.34</v>
      </c>
      <c r="L37" s="90">
        <f t="shared" si="54"/>
        <v>67815.929999999993</v>
      </c>
      <c r="M37" s="90">
        <f t="shared" si="54"/>
        <v>74921.962</v>
      </c>
      <c r="N37" s="90">
        <f t="shared" si="54"/>
        <v>77156</v>
      </c>
      <c r="O37" s="90">
        <f t="shared" si="54"/>
        <v>89147.108999999997</v>
      </c>
      <c r="P37" s="90">
        <f t="shared" ref="P37:Q37" si="55">SUM(P3,P8,P18,P21,P24,P27,P33)</f>
        <v>83769.561000000002</v>
      </c>
      <c r="Q37" s="90">
        <f t="shared" si="55"/>
        <v>82307</v>
      </c>
      <c r="R37" s="90">
        <f t="shared" ref="R37" si="56">SUM(R3,R8,R18,R21,R24,R27,R33)</f>
        <v>83388.032999999981</v>
      </c>
      <c r="S37" s="137">
        <f t="shared" si="54"/>
        <v>84203.30641619605</v>
      </c>
      <c r="T37" s="56">
        <f t="shared" si="54"/>
        <v>84264.592281878271</v>
      </c>
      <c r="U37" s="56">
        <f t="shared" si="54"/>
        <v>84325.743268473336</v>
      </c>
      <c r="V37" s="56">
        <f t="shared" si="54"/>
        <v>84579.036740222698</v>
      </c>
      <c r="W37" s="56">
        <f t="shared" si="54"/>
        <v>84824.624993222082</v>
      </c>
      <c r="X37" s="56">
        <f t="shared" ref="X37" si="57">SUM(X3,X8,X18,X21,X24,X27,X33)</f>
        <v>85070.213246221436</v>
      </c>
      <c r="Y37" s="48"/>
    </row>
    <row r="38" spans="1:25" s="71" customFormat="1" ht="15" customHeight="1">
      <c r="A38" s="71" t="s">
        <v>0</v>
      </c>
      <c r="B38" s="6">
        <f t="shared" si="53"/>
        <v>1132</v>
      </c>
      <c r="C38" s="90">
        <f t="shared" si="54"/>
        <v>1130</v>
      </c>
      <c r="D38" s="90">
        <f t="shared" si="54"/>
        <v>1134</v>
      </c>
      <c r="E38" s="90">
        <f t="shared" si="54"/>
        <v>1139</v>
      </c>
      <c r="F38" s="90">
        <f t="shared" si="54"/>
        <v>1142</v>
      </c>
      <c r="G38" s="90">
        <f t="shared" si="54"/>
        <v>1155</v>
      </c>
      <c r="H38" s="90">
        <f t="shared" si="54"/>
        <v>1209</v>
      </c>
      <c r="I38" s="90">
        <f t="shared" si="54"/>
        <v>1256</v>
      </c>
      <c r="J38" s="90">
        <f t="shared" si="54"/>
        <v>1268</v>
      </c>
      <c r="K38" s="90">
        <f t="shared" si="54"/>
        <v>1315</v>
      </c>
      <c r="L38" s="90">
        <f t="shared" si="54"/>
        <v>1371</v>
      </c>
      <c r="M38" s="90">
        <f t="shared" si="54"/>
        <v>1456</v>
      </c>
      <c r="N38" s="90">
        <f t="shared" si="54"/>
        <v>1472</v>
      </c>
      <c r="O38" s="90">
        <f t="shared" si="54"/>
        <v>1499</v>
      </c>
      <c r="P38" s="90">
        <f t="shared" ref="P38:Q38" si="58">SUM(P4,P9,P19,P22,P25,P28,P34)</f>
        <v>1493</v>
      </c>
      <c r="Q38" s="90">
        <f t="shared" si="58"/>
        <v>1496</v>
      </c>
      <c r="R38" s="90">
        <f t="shared" ref="R38" si="59">SUM(R4,R9,R19,R22,R25,R28,R34)</f>
        <v>1500</v>
      </c>
      <c r="S38" s="137">
        <f t="shared" si="54"/>
        <v>1506</v>
      </c>
      <c r="T38" s="56">
        <f t="shared" si="54"/>
        <v>1510</v>
      </c>
      <c r="U38" s="56">
        <f t="shared" si="54"/>
        <v>1514</v>
      </c>
      <c r="V38" s="56">
        <f t="shared" si="54"/>
        <v>1519</v>
      </c>
      <c r="W38" s="56">
        <f t="shared" si="54"/>
        <v>1523</v>
      </c>
      <c r="X38" s="56">
        <f t="shared" ref="X38" si="60">SUM(X4,X9,X19,X22,X25,X28,X34)</f>
        <v>1527</v>
      </c>
      <c r="Y38" s="48"/>
    </row>
    <row r="39" spans="1:25" s="71" customFormat="1" ht="15" customHeight="1">
      <c r="B39" s="6"/>
      <c r="C39" s="90"/>
      <c r="D39" s="90"/>
      <c r="E39" s="90"/>
      <c r="F39" s="90"/>
      <c r="G39" s="90"/>
      <c r="H39" s="90"/>
      <c r="I39" s="90"/>
      <c r="J39" s="90"/>
      <c r="K39" s="63"/>
      <c r="L39" s="63"/>
      <c r="M39" s="63"/>
      <c r="N39" s="43"/>
      <c r="O39" s="63"/>
      <c r="P39" s="43"/>
      <c r="Q39" s="43"/>
      <c r="R39" s="63"/>
      <c r="S39" s="138"/>
      <c r="T39" s="63"/>
      <c r="U39" s="63"/>
      <c r="V39" s="63"/>
      <c r="W39" s="63"/>
      <c r="X39" s="63"/>
      <c r="Y39" s="49"/>
    </row>
    <row r="40" spans="1:25" s="71" customFormat="1" ht="15" customHeight="1">
      <c r="A40" s="71" t="s">
        <v>3</v>
      </c>
      <c r="B40" s="4"/>
      <c r="C40" s="43">
        <v>162</v>
      </c>
      <c r="D40" s="43">
        <v>186</v>
      </c>
      <c r="E40" s="43">
        <v>198</v>
      </c>
      <c r="F40" s="43">
        <v>247</v>
      </c>
      <c r="G40" s="43">
        <v>201</v>
      </c>
      <c r="H40" s="43">
        <v>308.7</v>
      </c>
      <c r="I40" s="43">
        <v>354</v>
      </c>
      <c r="J40" s="43">
        <v>369</v>
      </c>
      <c r="K40" s="43">
        <v>266</v>
      </c>
      <c r="L40" s="43">
        <v>266</v>
      </c>
      <c r="M40" s="43">
        <v>325.46100000000001</v>
      </c>
      <c r="N40" s="43">
        <v>337</v>
      </c>
      <c r="O40" s="43">
        <v>367.57600000000002</v>
      </c>
      <c r="P40" s="43">
        <v>366.459</v>
      </c>
      <c r="Q40" s="43">
        <v>304</v>
      </c>
      <c r="R40" s="43">
        <v>300</v>
      </c>
      <c r="S40" s="137">
        <f>AVERAGE(N40,Q40)</f>
        <v>320.5</v>
      </c>
      <c r="T40" s="56">
        <f t="shared" ref="T40:X40" si="61">S40</f>
        <v>320.5</v>
      </c>
      <c r="U40" s="56">
        <f t="shared" si="61"/>
        <v>320.5</v>
      </c>
      <c r="V40" s="56">
        <f t="shared" si="61"/>
        <v>320.5</v>
      </c>
      <c r="W40" s="56">
        <f t="shared" si="61"/>
        <v>320.5</v>
      </c>
      <c r="X40" s="56">
        <f t="shared" si="61"/>
        <v>320.5</v>
      </c>
      <c r="Y40" s="48"/>
    </row>
    <row r="41" spans="1:25" s="71" customFormat="1" ht="15" customHeight="1">
      <c r="A41" s="71" t="s">
        <v>0</v>
      </c>
      <c r="B41" s="4"/>
      <c r="C41" s="43">
        <v>3</v>
      </c>
      <c r="D41" s="43">
        <v>3</v>
      </c>
      <c r="E41" s="43">
        <v>3</v>
      </c>
      <c r="F41" s="43">
        <v>3</v>
      </c>
      <c r="G41" s="43">
        <v>4</v>
      </c>
      <c r="H41" s="43">
        <v>5</v>
      </c>
      <c r="I41" s="43">
        <v>6</v>
      </c>
      <c r="J41" s="43">
        <v>6</v>
      </c>
      <c r="K41" s="43">
        <v>6</v>
      </c>
      <c r="L41" s="43">
        <v>6</v>
      </c>
      <c r="M41" s="43">
        <v>6</v>
      </c>
      <c r="N41" s="43">
        <v>6</v>
      </c>
      <c r="O41" s="43">
        <f t="shared" ref="O41:X41" si="62">+N41</f>
        <v>6</v>
      </c>
      <c r="P41" s="43">
        <v>6</v>
      </c>
      <c r="Q41" s="43">
        <v>6</v>
      </c>
      <c r="R41" s="43">
        <f t="shared" si="62"/>
        <v>6</v>
      </c>
      <c r="S41" s="137">
        <f t="shared" si="62"/>
        <v>6</v>
      </c>
      <c r="T41" s="56">
        <f t="shared" si="62"/>
        <v>6</v>
      </c>
      <c r="U41" s="56">
        <f t="shared" si="62"/>
        <v>6</v>
      </c>
      <c r="V41" s="56">
        <f t="shared" si="62"/>
        <v>6</v>
      </c>
      <c r="W41" s="56">
        <f t="shared" si="62"/>
        <v>6</v>
      </c>
      <c r="X41" s="56">
        <f t="shared" si="62"/>
        <v>6</v>
      </c>
      <c r="Y41" s="48"/>
    </row>
    <row r="42" spans="1:25" s="71" customFormat="1" ht="15" customHeight="1">
      <c r="B42" s="4"/>
      <c r="C42" s="43"/>
      <c r="D42" s="43"/>
      <c r="E42" s="43"/>
      <c r="F42" s="43"/>
      <c r="G42" s="43"/>
      <c r="H42" s="43"/>
      <c r="I42" s="43"/>
      <c r="J42" s="43"/>
      <c r="K42" s="63"/>
      <c r="L42" s="63"/>
      <c r="M42" s="63"/>
      <c r="N42" s="43"/>
      <c r="O42" s="63"/>
      <c r="P42" s="43"/>
      <c r="Q42" s="43"/>
      <c r="R42" s="63"/>
      <c r="S42" s="138"/>
      <c r="T42" s="63"/>
      <c r="U42" s="63"/>
      <c r="V42" s="63"/>
      <c r="W42" s="63"/>
      <c r="X42" s="63"/>
      <c r="Y42" s="49"/>
    </row>
    <row r="43" spans="1:25" s="71" customFormat="1" ht="15" customHeight="1">
      <c r="A43" s="71" t="s">
        <v>4</v>
      </c>
      <c r="B43" s="6">
        <f t="shared" ref="B43" si="63">B46-(B37+B40)</f>
        <v>2128</v>
      </c>
      <c r="C43" s="90">
        <f t="shared" ref="C43:O43" si="64">C46-(C37+C40)</f>
        <v>3154</v>
      </c>
      <c r="D43" s="90">
        <f t="shared" si="64"/>
        <v>3042</v>
      </c>
      <c r="E43" s="90">
        <f t="shared" si="64"/>
        <v>3175</v>
      </c>
      <c r="F43" s="90">
        <f t="shared" si="64"/>
        <v>3292</v>
      </c>
      <c r="G43" s="90">
        <f t="shared" si="64"/>
        <v>3118</v>
      </c>
      <c r="H43" s="90">
        <f t="shared" si="64"/>
        <v>3053.3770000000077</v>
      </c>
      <c r="I43" s="90">
        <f t="shared" si="64"/>
        <v>3306</v>
      </c>
      <c r="J43" s="90">
        <f t="shared" si="64"/>
        <v>2573</v>
      </c>
      <c r="K43" s="90">
        <f t="shared" si="64"/>
        <v>3102.6870000000054</v>
      </c>
      <c r="L43" s="90">
        <f t="shared" si="64"/>
        <v>4759.4850000000006</v>
      </c>
      <c r="M43" s="90">
        <f t="shared" si="64"/>
        <v>2194.9610000000102</v>
      </c>
      <c r="N43" s="90">
        <f t="shared" si="64"/>
        <v>5875.7449999999953</v>
      </c>
      <c r="O43" s="90">
        <f t="shared" si="64"/>
        <v>2096.8859999999986</v>
      </c>
      <c r="P43" s="90">
        <f t="shared" ref="P43:R43" si="65">P46-(P37+P40)</f>
        <v>5440.4599999999919</v>
      </c>
      <c r="Q43" s="90">
        <f t="shared" si="65"/>
        <v>3200</v>
      </c>
      <c r="R43" s="90">
        <f t="shared" si="65"/>
        <v>1241.3240000000224</v>
      </c>
      <c r="S43" s="137">
        <f t="shared" ref="S43" si="66">S44*(S37+S40)</f>
        <v>4044.4906673676696</v>
      </c>
      <c r="T43" s="56">
        <f>T44*(T37+T40)</f>
        <v>4047.423215276986</v>
      </c>
      <c r="U43" s="56">
        <f>U44*(U37+U40)</f>
        <v>4050.3493091796463</v>
      </c>
      <c r="V43" s="56">
        <f t="shared" ref="V43:W43" si="67">V44*(V37+V40)</f>
        <v>4062.469481306669</v>
      </c>
      <c r="W43" s="56">
        <f t="shared" si="67"/>
        <v>4074.2209562979897</v>
      </c>
      <c r="X43" s="56">
        <f t="shared" ref="X43" si="68">X44*(X37+X40)</f>
        <v>4085.9724312893086</v>
      </c>
      <c r="Y43" s="48"/>
    </row>
    <row r="44" spans="1:25" s="91" customFormat="1" ht="15" customHeight="1">
      <c r="A44" s="71" t="s">
        <v>5</v>
      </c>
      <c r="B44" s="7">
        <f t="shared" ref="B44" si="69">B43/(B37+B40)</f>
        <v>3.9563463290386153E-2</v>
      </c>
      <c r="C44" s="99">
        <f t="shared" ref="C44:O44" si="70">C43/(C37+C40)</f>
        <v>5.4186853588977082E-2</v>
      </c>
      <c r="D44" s="99">
        <f t="shared" si="70"/>
        <v>5.3876943785200665E-2</v>
      </c>
      <c r="E44" s="99">
        <f t="shared" si="70"/>
        <v>5.4542018827733116E-2</v>
      </c>
      <c r="F44" s="99">
        <f t="shared" si="70"/>
        <v>5.9575084150711208E-2</v>
      </c>
      <c r="G44" s="99">
        <f t="shared" si="70"/>
        <v>5.8103348675996494E-2</v>
      </c>
      <c r="H44" s="99">
        <f t="shared" si="70"/>
        <v>5.0262673584818826E-2</v>
      </c>
      <c r="I44" s="99">
        <f t="shared" si="70"/>
        <v>5.2618176030558649E-2</v>
      </c>
      <c r="J44" s="99">
        <f t="shared" si="70"/>
        <v>3.9560878857301002E-2</v>
      </c>
      <c r="K44" s="99">
        <f t="shared" si="70"/>
        <v>5.2056462883839888E-2</v>
      </c>
      <c r="L44" s="99">
        <f t="shared" si="70"/>
        <v>6.9908197373370604E-2</v>
      </c>
      <c r="M44" s="99">
        <f t="shared" si="70"/>
        <v>2.916991589200351E-2</v>
      </c>
      <c r="N44" s="99">
        <f t="shared" si="70"/>
        <v>7.5822913037306539E-2</v>
      </c>
      <c r="O44" s="99">
        <f t="shared" si="70"/>
        <v>2.3425050314370192E-2</v>
      </c>
      <c r="P44" s="99">
        <f t="shared" ref="P44:R44" si="71">P43/(P37+P40)</f>
        <v>6.4662673608758672E-2</v>
      </c>
      <c r="Q44" s="99">
        <f t="shared" si="71"/>
        <v>3.8735761581387466E-2</v>
      </c>
      <c r="R44" s="99">
        <f t="shared" si="71"/>
        <v>1.4832753925522692E-2</v>
      </c>
      <c r="S44" s="143">
        <f>AVERAGE(O44:Q44,G44:M44)</f>
        <v>4.7850313880240532E-2</v>
      </c>
      <c r="T44" s="118">
        <f>S44</f>
        <v>4.7850313880240532E-2</v>
      </c>
      <c r="U44" s="118">
        <f>T44</f>
        <v>4.7850313880240532E-2</v>
      </c>
      <c r="V44" s="118">
        <f t="shared" ref="V44:X44" si="72">U44</f>
        <v>4.7850313880240532E-2</v>
      </c>
      <c r="W44" s="118">
        <f t="shared" si="72"/>
        <v>4.7850313880240532E-2</v>
      </c>
      <c r="X44" s="118">
        <f t="shared" si="72"/>
        <v>4.7850313880240532E-2</v>
      </c>
      <c r="Y44" s="70"/>
    </row>
    <row r="45" spans="1:25" s="71" customFormat="1" ht="15" customHeight="1">
      <c r="A45" s="91"/>
      <c r="B45" s="7"/>
      <c r="C45" s="211"/>
      <c r="D45" s="211"/>
      <c r="E45" s="211"/>
      <c r="F45" s="211"/>
      <c r="G45" s="211"/>
      <c r="H45" s="211"/>
      <c r="I45" s="211"/>
      <c r="J45" s="211"/>
      <c r="K45" s="234"/>
      <c r="L45" s="234"/>
      <c r="M45" s="234"/>
      <c r="N45" s="235"/>
      <c r="O45" s="91"/>
      <c r="P45" s="215"/>
      <c r="Q45" s="215"/>
      <c r="R45" s="91"/>
      <c r="S45" s="144"/>
      <c r="T45" s="83"/>
      <c r="U45" s="83"/>
      <c r="V45" s="83"/>
      <c r="W45" s="83"/>
      <c r="X45" s="83"/>
      <c r="Y45" s="236"/>
    </row>
    <row r="46" spans="1:25" s="71" customFormat="1" ht="15" customHeight="1">
      <c r="A46" s="71" t="s">
        <v>31</v>
      </c>
      <c r="B46" s="4">
        <v>55915</v>
      </c>
      <c r="C46" s="43">
        <v>61360</v>
      </c>
      <c r="D46" s="43">
        <v>59504</v>
      </c>
      <c r="E46" s="43">
        <v>61387</v>
      </c>
      <c r="F46" s="43">
        <v>58550</v>
      </c>
      <c r="G46" s="43">
        <v>56781</v>
      </c>
      <c r="H46" s="43">
        <v>63801.777000000002</v>
      </c>
      <c r="I46" s="43">
        <v>66136</v>
      </c>
      <c r="J46" s="43">
        <v>67612</v>
      </c>
      <c r="K46" s="43">
        <v>62705.027000000002</v>
      </c>
      <c r="L46" s="43">
        <v>72841.414999999994</v>
      </c>
      <c r="M46" s="43">
        <v>77442.384000000005</v>
      </c>
      <c r="N46" s="43">
        <v>83368.744999999995</v>
      </c>
      <c r="O46" s="43">
        <v>91611.570999999996</v>
      </c>
      <c r="P46" s="43">
        <v>89576.48</v>
      </c>
      <c r="Q46" s="43">
        <v>85811</v>
      </c>
      <c r="R46" s="43">
        <v>84929.357000000004</v>
      </c>
      <c r="S46" s="137">
        <f t="shared" ref="S46" si="73">S37+S40+S43</f>
        <v>88568.297083563724</v>
      </c>
      <c r="T46" s="56">
        <f>T37+T40+T43</f>
        <v>88632.515497155255</v>
      </c>
      <c r="U46" s="56">
        <f>U37+U40+U43</f>
        <v>88696.592577652977</v>
      </c>
      <c r="V46" s="56">
        <f t="shared" ref="V46:W46" si="74">V37+V40+V43</f>
        <v>88962.006221529373</v>
      </c>
      <c r="W46" s="56">
        <f t="shared" si="74"/>
        <v>89219.345949520066</v>
      </c>
      <c r="X46" s="56">
        <f t="shared" ref="X46" si="75">X37+X40+X43</f>
        <v>89476.685677510744</v>
      </c>
      <c r="Y46" s="48"/>
    </row>
    <row r="47" spans="1:25" s="71" customFormat="1" ht="17.25" customHeight="1">
      <c r="A47" s="71" t="s">
        <v>35</v>
      </c>
      <c r="B47" s="4"/>
      <c r="C47" s="63">
        <v>60400</v>
      </c>
      <c r="D47" s="63">
        <v>61300</v>
      </c>
      <c r="E47" s="63">
        <v>61600</v>
      </c>
      <c r="F47" s="63">
        <v>60900</v>
      </c>
      <c r="G47" s="63">
        <v>60900</v>
      </c>
      <c r="H47" s="63">
        <v>64200</v>
      </c>
      <c r="I47" s="63">
        <v>68600</v>
      </c>
      <c r="J47" s="63">
        <v>70400</v>
      </c>
      <c r="K47" s="63">
        <v>71700</v>
      </c>
      <c r="L47" s="63">
        <v>75400</v>
      </c>
      <c r="M47" s="63">
        <v>81100</v>
      </c>
      <c r="N47" s="63">
        <v>84470</v>
      </c>
      <c r="O47" s="63">
        <v>86480</v>
      </c>
      <c r="P47" s="63">
        <v>87500</v>
      </c>
      <c r="Q47" s="63">
        <v>88320</v>
      </c>
      <c r="R47" s="56"/>
      <c r="S47" s="137"/>
      <c r="T47" s="56"/>
      <c r="U47" s="56"/>
      <c r="V47" s="56"/>
      <c r="W47" s="56"/>
      <c r="X47" s="56"/>
      <c r="Y47" s="48"/>
    </row>
    <row r="48" spans="1:25" s="71" customFormat="1" ht="23.25" customHeight="1">
      <c r="A48" s="71" t="s">
        <v>30</v>
      </c>
      <c r="B48" s="4">
        <v>14200</v>
      </c>
      <c r="C48" s="43">
        <v>14600</v>
      </c>
      <c r="D48" s="43">
        <v>15100</v>
      </c>
      <c r="E48" s="43">
        <v>14114</v>
      </c>
      <c r="F48" s="43">
        <v>13555</v>
      </c>
      <c r="G48" s="43">
        <v>15275</v>
      </c>
      <c r="H48" s="43">
        <v>16272</v>
      </c>
      <c r="I48" s="43">
        <v>17490</v>
      </c>
      <c r="J48" s="43">
        <v>16117</v>
      </c>
      <c r="K48" s="43">
        <v>17509</v>
      </c>
      <c r="L48" s="43">
        <v>18019</v>
      </c>
      <c r="M48" s="43">
        <v>20251</v>
      </c>
      <c r="N48" s="43">
        <v>21976</v>
      </c>
      <c r="O48" s="43">
        <v>22066</v>
      </c>
      <c r="P48" s="43">
        <v>20430</v>
      </c>
      <c r="Q48" s="43">
        <v>20523</v>
      </c>
      <c r="R48" s="43">
        <v>21146</v>
      </c>
      <c r="S48" s="140">
        <f>S46/8.76/S50</f>
        <v>22068.713726668386</v>
      </c>
      <c r="T48" s="94">
        <f t="shared" ref="T48:X48" si="76">T46/8.76/T50</f>
        <v>22084.715138372114</v>
      </c>
      <c r="U48" s="94">
        <f t="shared" si="76"/>
        <v>22149.026992942458</v>
      </c>
      <c r="V48" s="94">
        <f t="shared" si="76"/>
        <v>22264.008171581812</v>
      </c>
      <c r="W48" s="94">
        <f t="shared" si="76"/>
        <v>22377.469555844731</v>
      </c>
      <c r="X48" s="94">
        <f t="shared" si="76"/>
        <v>22491.43061712123</v>
      </c>
      <c r="Y48" s="111"/>
    </row>
    <row r="49" spans="1:25" s="71" customFormat="1" ht="15" customHeight="1">
      <c r="B49" s="4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P49" s="88"/>
      <c r="Q49" s="88"/>
      <c r="S49" s="135"/>
      <c r="Y49" s="50"/>
    </row>
    <row r="50" spans="1:25" s="91" customFormat="1" ht="15" customHeight="1">
      <c r="A50" s="71" t="s">
        <v>32</v>
      </c>
      <c r="B50" s="19">
        <f t="shared" ref="B50" si="77">B46/(B48*8.76)</f>
        <v>0.44950639912534568</v>
      </c>
      <c r="C50" s="99">
        <f>C46/(C48*8.76)</f>
        <v>0.47976480890723711</v>
      </c>
      <c r="D50" s="99">
        <f t="shared" ref="D50:R50" si="78">D46/(D48*8.76)</f>
        <v>0.44984728900178417</v>
      </c>
      <c r="E50" s="99">
        <f t="shared" si="78"/>
        <v>0.49650335849698768</v>
      </c>
      <c r="F50" s="99">
        <f t="shared" si="78"/>
        <v>0.49308668051183324</v>
      </c>
      <c r="G50" s="99">
        <f t="shared" si="78"/>
        <v>0.42434365401430396</v>
      </c>
      <c r="H50" s="99">
        <f t="shared" si="78"/>
        <v>0.4475975833771097</v>
      </c>
      <c r="I50" s="99">
        <f t="shared" si="78"/>
        <v>0.43166218922228228</v>
      </c>
      <c r="J50" s="99">
        <f t="shared" si="78"/>
        <v>0.47888967178647696</v>
      </c>
      <c r="K50" s="99">
        <f t="shared" si="78"/>
        <v>0.40882449626037076</v>
      </c>
      <c r="L50" s="99">
        <f t="shared" si="78"/>
        <v>0.46147011614579331</v>
      </c>
      <c r="M50" s="99">
        <f t="shared" si="78"/>
        <v>0.43654411113132924</v>
      </c>
      <c r="N50" s="237">
        <f t="shared" si="78"/>
        <v>0.43306243278262874</v>
      </c>
      <c r="O50" s="237">
        <f t="shared" si="78"/>
        <v>0.47393917769315547</v>
      </c>
      <c r="P50" s="237">
        <f t="shared" si="78"/>
        <v>0.50052009646481921</v>
      </c>
      <c r="Q50" s="237">
        <f t="shared" si="78"/>
        <v>0.47730722875348458</v>
      </c>
      <c r="R50" s="237">
        <f t="shared" si="78"/>
        <v>0.45848539097822621</v>
      </c>
      <c r="S50" s="165">
        <f>AVERAGE(D50:R50)</f>
        <v>0.45813889844137246</v>
      </c>
      <c r="T50" s="166">
        <f>S50</f>
        <v>0.45813889844137246</v>
      </c>
      <c r="U50" s="128">
        <f>T50-0.001</f>
        <v>0.45713889844137245</v>
      </c>
      <c r="V50" s="128">
        <f t="shared" ref="V50:X50" si="79">U50-0.001</f>
        <v>0.45613889844137245</v>
      </c>
      <c r="W50" s="128">
        <f t="shared" si="79"/>
        <v>0.45513889844137245</v>
      </c>
      <c r="X50" s="128">
        <f t="shared" si="79"/>
        <v>0.45413889844137245</v>
      </c>
      <c r="Y50" s="70"/>
    </row>
    <row r="51" spans="1:25" s="91" customFormat="1" ht="16.5" customHeight="1">
      <c r="A51" s="71" t="s">
        <v>36</v>
      </c>
      <c r="B51" s="10"/>
      <c r="C51" s="99">
        <f>C47/(C48*8.76)</f>
        <v>0.47225871020203913</v>
      </c>
      <c r="D51" s="99">
        <f t="shared" ref="D51:Q51" si="80">D47/(D48*8.76)</f>
        <v>0.46342495993226285</v>
      </c>
      <c r="E51" s="99">
        <f t="shared" si="80"/>
        <v>0.4982261208955388</v>
      </c>
      <c r="F51" s="99">
        <f t="shared" si="80"/>
        <v>0.51287752080564719</v>
      </c>
      <c r="G51" s="99">
        <f t="shared" si="80"/>
        <v>0.45512633679348924</v>
      </c>
      <c r="H51" s="99">
        <f t="shared" si="80"/>
        <v>0.45039129322072707</v>
      </c>
      <c r="I51" s="99">
        <f t="shared" si="80"/>
        <v>0.44774443843970857</v>
      </c>
      <c r="J51" s="99">
        <f t="shared" si="80"/>
        <v>0.49863682325279507</v>
      </c>
      <c r="K51" s="99">
        <f t="shared" si="80"/>
        <v>0.46746995869834457</v>
      </c>
      <c r="L51" s="99">
        <f t="shared" si="80"/>
        <v>0.47767944592225203</v>
      </c>
      <c r="M51" s="99">
        <f t="shared" si="80"/>
        <v>0.45716215829242546</v>
      </c>
      <c r="N51" s="99">
        <f t="shared" si="80"/>
        <v>0.43878294793988626</v>
      </c>
      <c r="O51" s="99">
        <f t="shared" si="80"/>
        <v>0.44739173926953052</v>
      </c>
      <c r="P51" s="99">
        <f t="shared" si="80"/>
        <v>0.48891749754703112</v>
      </c>
      <c r="Q51" s="99">
        <f t="shared" si="80"/>
        <v>0.49126306002153286</v>
      </c>
      <c r="S51" s="145"/>
      <c r="V51" s="129"/>
      <c r="X51" s="69"/>
      <c r="Y51" s="69"/>
    </row>
    <row r="52" spans="1:25" s="91" customFormat="1" ht="21" customHeight="1">
      <c r="C52" s="215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9"/>
      <c r="O52" s="238"/>
      <c r="P52" s="238"/>
      <c r="Q52" s="239"/>
      <c r="R52" s="130"/>
      <c r="S52" s="146"/>
      <c r="T52" s="130"/>
      <c r="U52" s="130"/>
      <c r="V52" s="130"/>
      <c r="X52" s="69"/>
      <c r="Y52" s="69"/>
    </row>
  </sheetData>
  <phoneticPr fontId="0" type="noConversion"/>
  <pageMargins left="0.75" right="0.75" top="1" bottom="1" header="0.5" footer="0.5"/>
  <pageSetup scale="3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zoomScale="87" zoomScaleNormal="87" workbookViewId="0">
      <pane xSplit="1" ySplit="3" topLeftCell="P13" activePane="bottomRight" state="frozen"/>
      <selection activeCell="B35" sqref="B35"/>
      <selection pane="topRight" activeCell="B35" sqref="B35"/>
      <selection pane="bottomLeft" activeCell="B35" sqref="B35"/>
      <selection pane="bottomRight"/>
    </sheetView>
  </sheetViews>
  <sheetFormatPr defaultColWidth="9.140625" defaultRowHeight="15.75"/>
  <cols>
    <col min="1" max="1" width="28.28515625" style="133" customWidth="1"/>
    <col min="2" max="2" width="8.7109375" style="71" bestFit="1" customWidth="1"/>
    <col min="3" max="12" width="8.5703125" style="71" customWidth="1"/>
    <col min="13" max="13" width="10.28515625" style="50" customWidth="1"/>
    <col min="14" max="14" width="10.28515625" style="88" customWidth="1"/>
    <col min="15" max="17" width="8.85546875" style="50" customWidth="1"/>
    <col min="18" max="18" width="8.85546875" style="186" customWidth="1"/>
    <col min="19" max="19" width="8.5703125" style="50" customWidth="1"/>
    <col min="20" max="20" width="9.42578125" style="50" bestFit="1" customWidth="1"/>
    <col min="21" max="21" width="8.85546875" style="50" bestFit="1" customWidth="1"/>
    <col min="22" max="22" width="10" style="50" customWidth="1"/>
    <col min="23" max="24" width="9.85546875" style="50" customWidth="1"/>
    <col min="25" max="25" width="17" style="50" customWidth="1"/>
    <col min="26" max="33" width="9.140625" style="50" customWidth="1"/>
    <col min="34" max="34" width="10.140625" style="50" customWidth="1"/>
    <col min="35" max="35" width="11.140625" style="133" bestFit="1" customWidth="1"/>
    <col min="36" max="36" width="9.85546875" style="133" bestFit="1" customWidth="1"/>
    <col min="37" max="37" width="9.28515625" style="133" bestFit="1" customWidth="1"/>
    <col min="38" max="16384" width="9.140625" style="133"/>
  </cols>
  <sheetData>
    <row r="1" spans="1:39" s="71" customFormat="1" ht="26.25">
      <c r="D1" s="169"/>
      <c r="R1" s="155"/>
      <c r="S1" s="251" t="s">
        <v>52</v>
      </c>
      <c r="T1" s="252"/>
      <c r="U1" s="252"/>
      <c r="V1" s="252"/>
      <c r="W1" s="252"/>
      <c r="X1" s="250"/>
      <c r="Y1" s="256" t="s">
        <v>53</v>
      </c>
      <c r="Z1" s="253"/>
      <c r="AA1" s="253"/>
      <c r="AB1" s="253"/>
      <c r="AC1" s="253"/>
      <c r="AD1" s="253"/>
      <c r="AE1" s="253"/>
      <c r="AF1" s="253"/>
      <c r="AG1" s="253"/>
      <c r="AH1" s="253"/>
      <c r="AI1" s="254"/>
      <c r="AJ1" s="254"/>
      <c r="AK1" s="254"/>
      <c r="AL1" s="254"/>
      <c r="AM1" s="249"/>
    </row>
    <row r="2" spans="1:39" s="71" customFormat="1" ht="15" customHeight="1">
      <c r="A2" s="88" t="s">
        <v>19</v>
      </c>
      <c r="M2" s="49"/>
      <c r="N2" s="43"/>
      <c r="O2" s="43"/>
      <c r="P2" s="43"/>
      <c r="Q2" s="43"/>
      <c r="R2" s="77"/>
      <c r="S2" s="50"/>
      <c r="T2" s="50"/>
      <c r="U2" s="50"/>
      <c r="V2" s="59"/>
      <c r="W2" s="50"/>
      <c r="X2" s="49"/>
      <c r="Y2" s="50"/>
      <c r="Z2" s="50"/>
      <c r="AA2" s="50"/>
      <c r="AB2" s="50"/>
      <c r="AC2" s="50"/>
      <c r="AD2" s="50"/>
      <c r="AE2" s="50"/>
      <c r="AF2" s="50"/>
      <c r="AG2" s="50"/>
      <c r="AH2" s="50"/>
    </row>
    <row r="3" spans="1:39" s="88" customFormat="1" ht="15" customHeight="1">
      <c r="B3" s="88">
        <f>'Labrador City System'!B2</f>
        <v>2001</v>
      </c>
      <c r="C3" s="88">
        <f>'Labrador City System'!C2</f>
        <v>2002</v>
      </c>
      <c r="D3" s="88">
        <f>'Labrador City System'!D2</f>
        <v>2003</v>
      </c>
      <c r="E3" s="88">
        <f>'Labrador City System'!E2</f>
        <v>2004</v>
      </c>
      <c r="F3" s="88">
        <f>'Labrador City System'!F2</f>
        <v>2005</v>
      </c>
      <c r="G3" s="88">
        <f>'Labrador City System'!G2</f>
        <v>2006</v>
      </c>
      <c r="H3" s="88">
        <f>'Labrador City System'!H2</f>
        <v>2007</v>
      </c>
      <c r="I3" s="88">
        <f>'Labrador City System'!I2</f>
        <v>2008</v>
      </c>
      <c r="J3" s="88">
        <f>'Labrador City System'!J2</f>
        <v>2009</v>
      </c>
      <c r="K3" s="88">
        <f>'Labrador City System'!K2</f>
        <v>2010</v>
      </c>
      <c r="L3" s="88">
        <f>'Labrador City System'!L2</f>
        <v>2011</v>
      </c>
      <c r="M3" s="88">
        <f>'Labrador City System'!M2</f>
        <v>2012</v>
      </c>
      <c r="N3" s="88">
        <f t="shared" ref="N3:T3" si="0">+M3+1</f>
        <v>2013</v>
      </c>
      <c r="O3" s="88">
        <f t="shared" si="0"/>
        <v>2014</v>
      </c>
      <c r="P3" s="88">
        <f t="shared" si="0"/>
        <v>2015</v>
      </c>
      <c r="Q3" s="88">
        <f t="shared" si="0"/>
        <v>2016</v>
      </c>
      <c r="R3" s="154">
        <f t="shared" si="0"/>
        <v>2017</v>
      </c>
      <c r="S3" s="240">
        <f t="shared" si="0"/>
        <v>2018</v>
      </c>
      <c r="T3" s="240">
        <f t="shared" si="0"/>
        <v>2019</v>
      </c>
      <c r="U3" s="240">
        <f t="shared" ref="U3" si="1">+T3+1</f>
        <v>2020</v>
      </c>
      <c r="V3" s="240">
        <f t="shared" ref="V3" si="2">+U3+1</f>
        <v>2021</v>
      </c>
      <c r="W3" s="240">
        <f t="shared" ref="W3" si="3">+V3+1</f>
        <v>2022</v>
      </c>
      <c r="X3" s="240">
        <f t="shared" ref="X3" si="4">+W3+1</f>
        <v>2023</v>
      </c>
      <c r="Y3" s="240">
        <f t="shared" ref="Y3" si="5">+X3+1</f>
        <v>2024</v>
      </c>
      <c r="Z3" s="240">
        <f t="shared" ref="Z3" si="6">+Y3+1</f>
        <v>2025</v>
      </c>
      <c r="AA3" s="240">
        <f t="shared" ref="AA3" si="7">+Z3+1</f>
        <v>2026</v>
      </c>
      <c r="AB3" s="240">
        <f t="shared" ref="AB3" si="8">+AA3+1</f>
        <v>2027</v>
      </c>
      <c r="AC3" s="240">
        <f t="shared" ref="AC3" si="9">+AB3+1</f>
        <v>2028</v>
      </c>
      <c r="AD3" s="240">
        <f t="shared" ref="AD3" si="10">+AC3+1</f>
        <v>2029</v>
      </c>
      <c r="AE3" s="240">
        <f t="shared" ref="AE3" si="11">+AD3+1</f>
        <v>2030</v>
      </c>
      <c r="AF3" s="240">
        <f t="shared" ref="AF3:AH3" si="12">+AE3+1</f>
        <v>2031</v>
      </c>
      <c r="AG3" s="240">
        <f t="shared" si="12"/>
        <v>2032</v>
      </c>
      <c r="AH3" s="240">
        <f t="shared" si="12"/>
        <v>2033</v>
      </c>
      <c r="AI3" s="240">
        <f t="shared" ref="AI3" si="13">+AH3+1</f>
        <v>2034</v>
      </c>
      <c r="AJ3" s="240">
        <f t="shared" ref="AJ3:AM3" si="14">+AI3+1</f>
        <v>2035</v>
      </c>
      <c r="AK3" s="240">
        <f t="shared" si="14"/>
        <v>2036</v>
      </c>
      <c r="AL3" s="240">
        <f t="shared" si="14"/>
        <v>2037</v>
      </c>
      <c r="AM3" s="240">
        <f t="shared" si="14"/>
        <v>2038</v>
      </c>
    </row>
    <row r="4" spans="1:39" s="71" customFormat="1" ht="26.25" customHeight="1">
      <c r="A4" s="199" t="s">
        <v>21</v>
      </c>
      <c r="B4" s="43">
        <f>+'Wabush System'!B3+'Labrador City System'!B3</f>
        <v>4763</v>
      </c>
      <c r="C4" s="43">
        <f>+'Wabush System'!C3+'Labrador City System'!C3</f>
        <v>4633</v>
      </c>
      <c r="D4" s="43">
        <f>+'Wabush System'!D3+'Labrador City System'!D3</f>
        <v>3133</v>
      </c>
      <c r="E4" s="43">
        <f>+'Wabush System'!E3+'Labrador City System'!E3</f>
        <v>3158</v>
      </c>
      <c r="F4" s="43">
        <f>+'Wabush System'!F3+'Labrador City System'!F3</f>
        <v>3071</v>
      </c>
      <c r="G4" s="43">
        <f>+'Wabush System'!G3+'Labrador City System'!G3</f>
        <v>3061</v>
      </c>
      <c r="H4" s="43">
        <f>+'Wabush System'!H3+'Labrador City System'!H3</f>
        <v>3453.4</v>
      </c>
      <c r="I4" s="43">
        <f>+'Wabush System'!I3+'Labrador City System'!I3</f>
        <v>3304</v>
      </c>
      <c r="J4" s="43">
        <f>+'Wabush System'!J3+'Labrador City System'!J3</f>
        <v>1559</v>
      </c>
      <c r="K4" s="43">
        <f>+'Wabush System'!K3+'Labrador City System'!K3</f>
        <v>1146.7359999999999</v>
      </c>
      <c r="L4" s="43">
        <f>+'Wabush System'!L3+'Labrador City System'!L3</f>
        <v>1299.33</v>
      </c>
      <c r="M4" s="43">
        <f>+'Wabush System'!M3+'Labrador City System'!M3</f>
        <v>1209.8679999999999</v>
      </c>
      <c r="N4" s="43">
        <f>+'Wabush System'!N3+'Labrador City System'!N3</f>
        <v>1220</v>
      </c>
      <c r="O4" s="43">
        <f>+'Wabush System'!O3+'Labrador City System'!O3</f>
        <v>1182.3139999999999</v>
      </c>
      <c r="P4" s="43">
        <f>+'Wabush System'!P3+'Labrador City System'!P3</f>
        <v>1142.864</v>
      </c>
      <c r="Q4" s="43">
        <f>+'Wabush System'!Q3+'Labrador City System'!Q3</f>
        <v>1114</v>
      </c>
      <c r="R4" s="77">
        <f>+'Wabush System'!R3+'Labrador City System'!R3</f>
        <v>1038.701</v>
      </c>
      <c r="S4" s="49">
        <f>+'Wabush System'!S3+'Labrador City System'!S3</f>
        <v>1071.1628712871288</v>
      </c>
      <c r="T4" s="49">
        <f>+'Wabush System'!T3+'Labrador City System'!T3</f>
        <v>1059.1901241856858</v>
      </c>
      <c r="U4" s="49">
        <f>+'Wabush System'!U3+'Labrador City System'!U3</f>
        <v>1047.3289624232495</v>
      </c>
      <c r="V4" s="49">
        <f>+'Wabush System'!V3+'Labrador City System'!V3</f>
        <v>1035.5779873632764</v>
      </c>
      <c r="W4" s="49">
        <f>+'Wabush System'!W3+'Labrador City System'!W3</f>
        <v>1023.9358171263293</v>
      </c>
      <c r="X4" s="49">
        <f>+'Wabush System'!X3+'Labrador City System'!X3</f>
        <v>1012.4010863953621</v>
      </c>
      <c r="Y4" s="48"/>
      <c r="Z4" s="48"/>
      <c r="AA4" s="48"/>
      <c r="AB4" s="48"/>
      <c r="AC4" s="48"/>
      <c r="AD4" s="48"/>
      <c r="AE4" s="48"/>
      <c r="AF4" s="48"/>
      <c r="AG4" s="48"/>
      <c r="AH4" s="48"/>
    </row>
    <row r="5" spans="1:39" s="71" customFormat="1" ht="15" customHeight="1">
      <c r="A5" s="71" t="s">
        <v>8</v>
      </c>
      <c r="B5" s="43">
        <f>+'Wabush System'!B4+'Labrador City System'!B4</f>
        <v>450</v>
      </c>
      <c r="C5" s="43">
        <f>+'Wabush System'!C4+'Labrador City System'!C4</f>
        <v>354</v>
      </c>
      <c r="D5" s="43">
        <f>+'Wabush System'!D4+'Labrador City System'!D4</f>
        <v>358</v>
      </c>
      <c r="E5" s="43">
        <f>+'Wabush System'!E4+'Labrador City System'!E4</f>
        <v>358</v>
      </c>
      <c r="F5" s="43">
        <f>+'Wabush System'!F4+'Labrador City System'!F4</f>
        <v>357</v>
      </c>
      <c r="G5" s="43">
        <f>+'Wabush System'!G4+'Labrador City System'!G4</f>
        <v>351</v>
      </c>
      <c r="H5" s="43">
        <f>+'Wabush System'!H4+'Labrador City System'!H4</f>
        <v>349</v>
      </c>
      <c r="I5" s="43">
        <f>+'Wabush System'!I4+'Labrador City System'!I4</f>
        <v>324</v>
      </c>
      <c r="J5" s="43">
        <f>+'Wabush System'!J4+'Labrador City System'!J4</f>
        <v>293</v>
      </c>
      <c r="K5" s="43">
        <f>+'Wabush System'!K4+'Labrador City System'!K4</f>
        <v>291</v>
      </c>
      <c r="L5" s="43">
        <f>+'Wabush System'!L4+'Labrador City System'!L4</f>
        <v>287</v>
      </c>
      <c r="M5" s="43">
        <f>+'Wabush System'!M4+'Labrador City System'!M4</f>
        <v>247</v>
      </c>
      <c r="N5" s="43">
        <f>+'Wabush System'!N4+'Labrador City System'!N4</f>
        <v>242</v>
      </c>
      <c r="O5" s="43">
        <f>+'Wabush System'!O4+'Labrador City System'!O4</f>
        <v>239</v>
      </c>
      <c r="P5" s="43">
        <f>+'Wabush System'!P4+'Labrador City System'!P4</f>
        <v>237</v>
      </c>
      <c r="Q5" s="43">
        <f>+'Wabush System'!Q4+'Labrador City System'!Q4</f>
        <v>234</v>
      </c>
      <c r="R5" s="77">
        <f>+'Wabush System'!R4+'Labrador City System'!R4</f>
        <v>234</v>
      </c>
      <c r="S5" s="49">
        <f>+'Wabush System'!S4+'Labrador City System'!S4</f>
        <v>233</v>
      </c>
      <c r="T5" s="49">
        <f>+'Wabush System'!T4+'Labrador City System'!T4</f>
        <v>231</v>
      </c>
      <c r="U5" s="49">
        <f>+'Wabush System'!U4+'Labrador City System'!U4</f>
        <v>230</v>
      </c>
      <c r="V5" s="49">
        <f>+'Wabush System'!V4+'Labrador City System'!V4</f>
        <v>228</v>
      </c>
      <c r="W5" s="49">
        <f>+'Wabush System'!W4+'Labrador City System'!W4</f>
        <v>227</v>
      </c>
      <c r="X5" s="49">
        <f>+'Wabush System'!X4+'Labrador City System'!X4</f>
        <v>225</v>
      </c>
      <c r="Y5" s="48"/>
      <c r="Z5" s="48"/>
      <c r="AA5" s="48"/>
      <c r="AB5" s="48"/>
      <c r="AC5" s="48"/>
      <c r="AD5" s="48"/>
      <c r="AE5" s="48"/>
      <c r="AF5" s="48"/>
      <c r="AG5" s="48"/>
      <c r="AH5" s="48"/>
    </row>
    <row r="6" spans="1:39" s="71" customFormat="1" ht="15" customHeight="1">
      <c r="A6" s="71" t="s">
        <v>7</v>
      </c>
      <c r="B6" s="90"/>
      <c r="C6" s="90"/>
      <c r="D6" s="90">
        <f t="shared" ref="D6" si="15">D5-C5</f>
        <v>4</v>
      </c>
      <c r="E6" s="90">
        <f>E5-D5</f>
        <v>0</v>
      </c>
      <c r="F6" s="90">
        <f>F5-E5</f>
        <v>-1</v>
      </c>
      <c r="G6" s="90">
        <f t="shared" ref="G6:H6" si="16">G5-F5</f>
        <v>-6</v>
      </c>
      <c r="H6" s="90">
        <f t="shared" si="16"/>
        <v>-2</v>
      </c>
      <c r="I6" s="90">
        <f>I5-H5</f>
        <v>-25</v>
      </c>
      <c r="J6" s="90">
        <f>J5-I5</f>
        <v>-31</v>
      </c>
      <c r="K6" s="90">
        <f>K5-I5</f>
        <v>-33</v>
      </c>
      <c r="L6" s="90">
        <f t="shared" ref="L6:M6" si="17">L5-J5</f>
        <v>-6</v>
      </c>
      <c r="M6" s="90">
        <f t="shared" si="17"/>
        <v>-44</v>
      </c>
      <c r="N6" s="90">
        <f t="shared" ref="N6:O6" si="18">N5-M5</f>
        <v>-5</v>
      </c>
      <c r="O6" s="90">
        <f t="shared" si="18"/>
        <v>-3</v>
      </c>
      <c r="P6" s="90">
        <f t="shared" ref="P6" si="19">P5-O5</f>
        <v>-2</v>
      </c>
      <c r="Q6" s="90">
        <f t="shared" ref="Q6" si="20">Q5-P5</f>
        <v>-3</v>
      </c>
      <c r="R6" s="149">
        <f t="shared" ref="R6" si="21">R5-Q5</f>
        <v>0</v>
      </c>
      <c r="S6" s="66">
        <f t="shared" ref="S6" si="22">S5-R5</f>
        <v>-1</v>
      </c>
      <c r="T6" s="66">
        <f t="shared" ref="T6:X6" si="23">T5-S5</f>
        <v>-2</v>
      </c>
      <c r="U6" s="66">
        <f t="shared" si="23"/>
        <v>-1</v>
      </c>
      <c r="V6" s="66">
        <f t="shared" si="23"/>
        <v>-2</v>
      </c>
      <c r="W6" s="66">
        <f t="shared" si="23"/>
        <v>-1</v>
      </c>
      <c r="X6" s="66">
        <f t="shared" si="23"/>
        <v>-2</v>
      </c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9" s="71" customFormat="1" ht="15" customHeight="1">
      <c r="A7" s="71" t="s">
        <v>6</v>
      </c>
      <c r="B7" s="90"/>
      <c r="C7" s="90"/>
      <c r="D7" s="90">
        <f t="shared" ref="D7" si="24">D4*1000/((C5+D5)/2)</f>
        <v>8800.5617977528091</v>
      </c>
      <c r="E7" s="90">
        <f>E4*1000/((D5+E5)/2)</f>
        <v>8821.2290502793294</v>
      </c>
      <c r="F7" s="90">
        <f>F4*1000/((E5+F5)/2)</f>
        <v>8590.2097902097903</v>
      </c>
      <c r="G7" s="90">
        <f t="shared" ref="G7:X7" si="25">G4*1000/((F5+G5)/2)</f>
        <v>8646.8926553672318</v>
      </c>
      <c r="H7" s="90">
        <f t="shared" si="25"/>
        <v>9866.8571428571431</v>
      </c>
      <c r="I7" s="90">
        <f>I4*1000/((H5+I5)/2)</f>
        <v>9818.7221396731056</v>
      </c>
      <c r="J7" s="90">
        <f>J4*1000/((I5+J5)/2)</f>
        <v>5053.4846029173423</v>
      </c>
      <c r="K7" s="90">
        <f>K4*1000/((I5+K5)/2)</f>
        <v>3729.2227642276416</v>
      </c>
      <c r="L7" s="90">
        <f t="shared" ref="L7:M7" si="26">L4*1000/((J5+L5)/2)</f>
        <v>4480.4482758620688</v>
      </c>
      <c r="M7" s="90">
        <f t="shared" si="26"/>
        <v>4497.6505576208183</v>
      </c>
      <c r="N7" s="90">
        <f>N4*1000/((K5+N5)/2)</f>
        <v>4577.8611632270167</v>
      </c>
      <c r="O7" s="90">
        <f>O4*1000/((L5+O5)/2)</f>
        <v>4495.4904942965768</v>
      </c>
      <c r="P7" s="90">
        <f t="shared" si="25"/>
        <v>4801.9495798319331</v>
      </c>
      <c r="Q7" s="90">
        <f t="shared" si="25"/>
        <v>4730.3609341825904</v>
      </c>
      <c r="R7" s="149">
        <f t="shared" si="25"/>
        <v>4438.8931623931621</v>
      </c>
      <c r="S7" s="66">
        <f t="shared" si="25"/>
        <v>4587.4212903089028</v>
      </c>
      <c r="T7" s="66">
        <f t="shared" si="25"/>
        <v>4565.474673214163</v>
      </c>
      <c r="U7" s="66">
        <f t="shared" si="25"/>
        <v>4543.7265181052035</v>
      </c>
      <c r="V7" s="66">
        <f t="shared" si="25"/>
        <v>4522.1746173068841</v>
      </c>
      <c r="W7" s="66">
        <f t="shared" si="25"/>
        <v>4500.8167785772712</v>
      </c>
      <c r="X7" s="66">
        <f t="shared" si="25"/>
        <v>4479.6508247582387</v>
      </c>
      <c r="Y7" s="48"/>
      <c r="Z7" s="48"/>
      <c r="AA7" s="48"/>
      <c r="AB7" s="48"/>
      <c r="AC7" s="48"/>
      <c r="AD7" s="48"/>
      <c r="AE7" s="48"/>
      <c r="AF7" s="48"/>
      <c r="AG7" s="48"/>
      <c r="AH7" s="48"/>
    </row>
    <row r="8" spans="1:39" s="71" customFormat="1" ht="15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77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9" s="71" customFormat="1" ht="15" customHeight="1">
      <c r="A9" s="199" t="s">
        <v>22</v>
      </c>
      <c r="B9" s="43">
        <f>+'Wabush System'!B8+'Labrador City System'!B8</f>
        <v>150430</v>
      </c>
      <c r="C9" s="43">
        <f>+'Wabush System'!C8+'Labrador City System'!C8</f>
        <v>162587</v>
      </c>
      <c r="D9" s="43">
        <f>+'Wabush System'!D8+'Labrador City System'!D8</f>
        <v>155795</v>
      </c>
      <c r="E9" s="43">
        <f>+'Wabush System'!E8+'Labrador City System'!E8</f>
        <v>157838</v>
      </c>
      <c r="F9" s="43">
        <f>+'Wabush System'!F8+'Labrador City System'!F8</f>
        <v>147443</v>
      </c>
      <c r="G9" s="43">
        <f>+'Wabush System'!G8+'Labrador City System'!G8</f>
        <v>141443</v>
      </c>
      <c r="H9" s="43">
        <f>+'Wabush System'!H8+'Labrador City System'!H8</f>
        <v>156334.26999999999</v>
      </c>
      <c r="I9" s="43">
        <f>+'Wabush System'!I8+'Labrador City System'!I8</f>
        <v>153138</v>
      </c>
      <c r="J9" s="43">
        <f>+'Wabush System'!J8+'Labrador City System'!J8</f>
        <v>159560</v>
      </c>
      <c r="K9" s="43">
        <f>+'Wabush System'!K8+'Labrador City System'!K8</f>
        <v>146909.291</v>
      </c>
      <c r="L9" s="43">
        <f>+'Wabush System'!L8+'Labrador City System'!L8</f>
        <v>161263.6</v>
      </c>
      <c r="M9" s="43">
        <f>+'Wabush System'!M8+'Labrador City System'!M8</f>
        <v>165310.06700000001</v>
      </c>
      <c r="N9" s="43">
        <f>+'Wabush System'!N8+'Labrador City System'!N8</f>
        <v>169823</v>
      </c>
      <c r="O9" s="43">
        <f>+'Wabush System'!O8+'Labrador City System'!O8</f>
        <v>175653.24799999999</v>
      </c>
      <c r="P9" s="43">
        <f>+'Wabush System'!P8+'Labrador City System'!P8</f>
        <v>176731.614</v>
      </c>
      <c r="Q9" s="43">
        <f>+'Wabush System'!Q8+'Labrador City System'!Q8</f>
        <v>172596</v>
      </c>
      <c r="R9" s="77">
        <f>+'Wabush System'!R8+'Labrador City System'!R8</f>
        <v>169720.242</v>
      </c>
      <c r="S9" s="49">
        <f>+'Wabush System'!S8+'Labrador City System'!S8</f>
        <v>174141.5</v>
      </c>
      <c r="T9" s="49">
        <f>+'Wabush System'!T8+'Labrador City System'!T8</f>
        <v>173724.87562189059</v>
      </c>
      <c r="U9" s="49">
        <f>+'Wabush System'!U8+'Labrador City System'!U8</f>
        <v>173308.08643350416</v>
      </c>
      <c r="V9" s="49">
        <f>+'Wabush System'!V8+'Labrador City System'!V8</f>
        <v>173755.6001089082</v>
      </c>
      <c r="W9" s="49">
        <f>+'Wabush System'!W8+'Labrador City System'!W8</f>
        <v>174203.1137843123</v>
      </c>
      <c r="X9" s="49">
        <f>+'Wabush System'!X8+'Labrador City System'!X8</f>
        <v>174650.62745971637</v>
      </c>
      <c r="Y9" s="48"/>
      <c r="Z9" s="48"/>
      <c r="AA9" s="48"/>
      <c r="AB9" s="48"/>
      <c r="AC9" s="48"/>
      <c r="AD9" s="48"/>
      <c r="AE9" s="48"/>
      <c r="AF9" s="48"/>
      <c r="AG9" s="48"/>
      <c r="AH9" s="48"/>
    </row>
    <row r="10" spans="1:39" s="71" customFormat="1" ht="15" customHeight="1">
      <c r="A10" s="71" t="s">
        <v>8</v>
      </c>
      <c r="B10" s="43">
        <f>+'Wabush System'!B9+'Labrador City System'!B9</f>
        <v>3793</v>
      </c>
      <c r="C10" s="43">
        <f>+'Wabush System'!C9+'Labrador City System'!C9</f>
        <v>3885</v>
      </c>
      <c r="D10" s="43">
        <f>+'Wabush System'!D9+'Labrador City System'!D9</f>
        <v>3884</v>
      </c>
      <c r="E10" s="43">
        <f>+'Wabush System'!E9+'Labrador City System'!E9</f>
        <v>3901</v>
      </c>
      <c r="F10" s="43">
        <f>+'Wabush System'!F9+'Labrador City System'!F9</f>
        <v>3916</v>
      </c>
      <c r="G10" s="43">
        <f>+'Wabush System'!G9+'Labrador City System'!G9</f>
        <v>3928</v>
      </c>
      <c r="H10" s="43">
        <f>+'Wabush System'!H9+'Labrador City System'!H9</f>
        <v>4017</v>
      </c>
      <c r="I10" s="43">
        <f>+'Wabush System'!I9+'Labrador City System'!I9</f>
        <v>4159</v>
      </c>
      <c r="J10" s="43">
        <f>+'Wabush System'!J9+'Labrador City System'!J9</f>
        <v>4252</v>
      </c>
      <c r="K10" s="43">
        <f>+'Wabush System'!K9+'Labrador City System'!K9</f>
        <v>4345</v>
      </c>
      <c r="L10" s="43">
        <f>+'Wabush System'!L9+'Labrador City System'!L9</f>
        <v>4469</v>
      </c>
      <c r="M10" s="43">
        <f>+'Wabush System'!M9+'Labrador City System'!M9</f>
        <v>4708</v>
      </c>
      <c r="N10" s="43">
        <f>+'Wabush System'!N9+'Labrador City System'!N9</f>
        <v>4899</v>
      </c>
      <c r="O10" s="43">
        <f>+'Wabush System'!O9+'Labrador City System'!O9</f>
        <v>4947</v>
      </c>
      <c r="P10" s="43">
        <f>+'Wabush System'!P9+'Labrador City System'!P9</f>
        <v>4970</v>
      </c>
      <c r="Q10" s="43">
        <f>+'Wabush System'!Q9+'Labrador City System'!Q9</f>
        <v>4994</v>
      </c>
      <c r="R10" s="77">
        <f>+'Wabush System'!R9+'Labrador City System'!R9</f>
        <v>5005</v>
      </c>
      <c r="S10" s="49">
        <f>+'Wabush System'!S9+'Labrador City System'!S9</f>
        <v>5018</v>
      </c>
      <c r="T10" s="49">
        <f>+'Wabush System'!T9+'Labrador City System'!T9</f>
        <v>5031</v>
      </c>
      <c r="U10" s="49">
        <f>+'Wabush System'!U9+'Labrador City System'!U9</f>
        <v>5044</v>
      </c>
      <c r="V10" s="49">
        <f>+'Wabush System'!V9+'Labrador City System'!V9</f>
        <v>5057</v>
      </c>
      <c r="W10" s="49">
        <f>+'Wabush System'!W9+'Labrador City System'!W9</f>
        <v>5070</v>
      </c>
      <c r="X10" s="49">
        <f>+'Wabush System'!X9+'Labrador City System'!X9</f>
        <v>5083</v>
      </c>
      <c r="Y10" s="48"/>
      <c r="Z10" s="48"/>
      <c r="AA10" s="48"/>
      <c r="AB10" s="48"/>
      <c r="AC10" s="48"/>
      <c r="AD10" s="48"/>
      <c r="AE10" s="48"/>
      <c r="AF10" s="48"/>
      <c r="AG10" s="48"/>
      <c r="AH10" s="48"/>
    </row>
    <row r="11" spans="1:39" s="71" customFormat="1" ht="15" customHeight="1">
      <c r="A11" s="71" t="s">
        <v>7</v>
      </c>
      <c r="B11" s="90"/>
      <c r="C11" s="90"/>
      <c r="D11" s="90">
        <f t="shared" ref="D11" si="27">D10-C10</f>
        <v>-1</v>
      </c>
      <c r="E11" s="90">
        <f>E10-D10</f>
        <v>17</v>
      </c>
      <c r="F11" s="90">
        <f>F10-E10</f>
        <v>15</v>
      </c>
      <c r="G11" s="90">
        <f t="shared" ref="G11:H11" si="28">G10-F10</f>
        <v>12</v>
      </c>
      <c r="H11" s="90">
        <f t="shared" si="28"/>
        <v>89</v>
      </c>
      <c r="I11" s="90">
        <f>I10-H10</f>
        <v>142</v>
      </c>
      <c r="J11" s="90">
        <f>J10-I10</f>
        <v>93</v>
      </c>
      <c r="K11" s="90">
        <f>K10-I10</f>
        <v>186</v>
      </c>
      <c r="L11" s="90">
        <f t="shared" ref="L11:M11" si="29">L10-J10</f>
        <v>217</v>
      </c>
      <c r="M11" s="90">
        <f t="shared" si="29"/>
        <v>363</v>
      </c>
      <c r="N11" s="90">
        <f t="shared" ref="N11:O11" si="30">N10-M10</f>
        <v>191</v>
      </c>
      <c r="O11" s="90">
        <f t="shared" si="30"/>
        <v>48</v>
      </c>
      <c r="P11" s="90">
        <f t="shared" ref="P11" si="31">P10-O10</f>
        <v>23</v>
      </c>
      <c r="Q11" s="90">
        <f t="shared" ref="Q11" si="32">Q10-P10</f>
        <v>24</v>
      </c>
      <c r="R11" s="149">
        <f t="shared" ref="R11" si="33">R10-Q10</f>
        <v>11</v>
      </c>
      <c r="S11" s="66">
        <f t="shared" ref="S11" si="34">S10-R10</f>
        <v>13</v>
      </c>
      <c r="T11" s="66">
        <f t="shared" ref="T11:X11" si="35">T10-S10</f>
        <v>13</v>
      </c>
      <c r="U11" s="66">
        <f t="shared" si="35"/>
        <v>13</v>
      </c>
      <c r="V11" s="66">
        <f t="shared" si="35"/>
        <v>13</v>
      </c>
      <c r="W11" s="66">
        <f t="shared" si="35"/>
        <v>13</v>
      </c>
      <c r="X11" s="66">
        <f t="shared" si="35"/>
        <v>13</v>
      </c>
      <c r="Y11" s="48"/>
      <c r="Z11" s="48"/>
      <c r="AA11" s="48"/>
      <c r="AB11" s="48"/>
      <c r="AC11" s="48"/>
      <c r="AD11" s="48"/>
      <c r="AE11" s="48"/>
      <c r="AF11" s="48"/>
      <c r="AG11" s="48"/>
      <c r="AH11" s="48"/>
    </row>
    <row r="12" spans="1:39" s="71" customFormat="1" ht="15" customHeight="1">
      <c r="A12" s="71" t="s">
        <v>6</v>
      </c>
      <c r="B12" s="90"/>
      <c r="C12" s="90"/>
      <c r="D12" s="90">
        <f t="shared" ref="D12" si="36">D9*1000/((C10+D10)/2)</f>
        <v>40106.834856480884</v>
      </c>
      <c r="E12" s="90">
        <f>E9*1000/((D10+E10)/2)</f>
        <v>40549.261400128453</v>
      </c>
      <c r="F12" s="90">
        <f>F9*1000/((E10+F10)/2)</f>
        <v>37723.679160803375</v>
      </c>
      <c r="G12" s="90">
        <f t="shared" ref="G12:X12" si="37">G9*1000/((F10+G10)/2)</f>
        <v>36063.997960224377</v>
      </c>
      <c r="H12" s="90">
        <f t="shared" si="37"/>
        <v>39354.127123977341</v>
      </c>
      <c r="I12" s="90">
        <f>I9*1000/((H10+I10)/2)</f>
        <v>37460.371819960863</v>
      </c>
      <c r="J12" s="90">
        <f>J9*1000/((I10+J10)/2)</f>
        <v>37940.791820235405</v>
      </c>
      <c r="K12" s="90">
        <f>K9*1000/((I10+K10)/2)</f>
        <v>34550.632878645345</v>
      </c>
      <c r="L12" s="90">
        <f t="shared" ref="L12:M12" si="38">L9*1000/((J10+L10)/2)</f>
        <v>36982.823070748767</v>
      </c>
      <c r="M12" s="90">
        <f t="shared" si="38"/>
        <v>36520.505246879489</v>
      </c>
      <c r="N12" s="90">
        <f>N9*1000/((K10+N10)/2)</f>
        <v>36742.319342276074</v>
      </c>
      <c r="O12" s="90">
        <f>O9*1000/((L10+O10)/2)</f>
        <v>37309.525913338999</v>
      </c>
      <c r="P12" s="90">
        <f t="shared" si="37"/>
        <v>35642.152667137241</v>
      </c>
      <c r="Q12" s="90">
        <f t="shared" si="37"/>
        <v>34643.918105178644</v>
      </c>
      <c r="R12" s="149">
        <f t="shared" si="37"/>
        <v>33947.443144314435</v>
      </c>
      <c r="S12" s="66">
        <f t="shared" si="37"/>
        <v>34748.378728923475</v>
      </c>
      <c r="T12" s="66">
        <f t="shared" si="37"/>
        <v>34575.554905341945</v>
      </c>
      <c r="U12" s="66">
        <f t="shared" si="37"/>
        <v>34403.590359008274</v>
      </c>
      <c r="V12" s="66">
        <f t="shared" si="37"/>
        <v>34403.643225207052</v>
      </c>
      <c r="W12" s="66">
        <f t="shared" si="37"/>
        <v>34403.695819949105</v>
      </c>
      <c r="X12" s="66">
        <f t="shared" si="37"/>
        <v>34403.748145319885</v>
      </c>
      <c r="Y12" s="48"/>
      <c r="Z12" s="48"/>
      <c r="AA12" s="48"/>
      <c r="AB12" s="48"/>
      <c r="AC12" s="48"/>
      <c r="AD12" s="48"/>
      <c r="AE12" s="48"/>
      <c r="AF12" s="48"/>
      <c r="AG12" s="48"/>
      <c r="AH12" s="48"/>
    </row>
    <row r="13" spans="1:39" s="71" customFormat="1" ht="15" customHeight="1"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149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</row>
    <row r="14" spans="1:39" s="71" customFormat="1" ht="15" customHeight="1">
      <c r="A14" s="71" t="s">
        <v>27</v>
      </c>
      <c r="B14" s="90">
        <f t="shared" ref="B14" si="39">+B4+B9</f>
        <v>155193</v>
      </c>
      <c r="C14" s="90">
        <f t="shared" ref="C14:D14" si="40">+C4+C9</f>
        <v>167220</v>
      </c>
      <c r="D14" s="90">
        <f t="shared" si="40"/>
        <v>158928</v>
      </c>
      <c r="E14" s="90">
        <f>+E4+E9</f>
        <v>160996</v>
      </c>
      <c r="F14" s="90">
        <f>+F4+F9</f>
        <v>150514</v>
      </c>
      <c r="G14" s="90">
        <f t="shared" ref="G14:S14" si="41">+G4+G9</f>
        <v>144504</v>
      </c>
      <c r="H14" s="90">
        <f t="shared" ref="H14:K15" si="42">+H4+H9</f>
        <v>159787.66999999998</v>
      </c>
      <c r="I14" s="90">
        <f t="shared" si="42"/>
        <v>156442</v>
      </c>
      <c r="J14" s="90">
        <f>+J4+J9</f>
        <v>161119</v>
      </c>
      <c r="K14" s="90">
        <f t="shared" si="42"/>
        <v>148056.027</v>
      </c>
      <c r="L14" s="90">
        <f t="shared" ref="L14:M14" si="43">+L4+L9</f>
        <v>162562.93</v>
      </c>
      <c r="M14" s="90">
        <f t="shared" si="43"/>
        <v>166519.935</v>
      </c>
      <c r="N14" s="90">
        <f t="shared" ref="N14:O14" si="44">+N4+N9</f>
        <v>171043</v>
      </c>
      <c r="O14" s="90">
        <f t="shared" si="44"/>
        <v>176835.56200000001</v>
      </c>
      <c r="P14" s="90">
        <f t="shared" si="41"/>
        <v>177874.478</v>
      </c>
      <c r="Q14" s="90">
        <f t="shared" si="41"/>
        <v>173710</v>
      </c>
      <c r="R14" s="149">
        <f t="shared" si="41"/>
        <v>170758.943</v>
      </c>
      <c r="S14" s="66">
        <f t="shared" si="41"/>
        <v>175212.66287128712</v>
      </c>
      <c r="T14" s="66">
        <f t="shared" ref="T14:V15" si="45">+T4+T9</f>
        <v>174784.06574607629</v>
      </c>
      <c r="U14" s="66">
        <f t="shared" si="45"/>
        <v>174355.41539592741</v>
      </c>
      <c r="V14" s="66">
        <f t="shared" si="45"/>
        <v>174791.17809627147</v>
      </c>
      <c r="W14" s="66">
        <f t="shared" ref="W14:X14" si="46">+W4+W9</f>
        <v>175227.04960143863</v>
      </c>
      <c r="X14" s="66">
        <f t="shared" si="46"/>
        <v>175663.02854611175</v>
      </c>
      <c r="Y14" s="48">
        <f t="shared" ref="Y14" si="47">Y17/1000*((X15+Y15)/2)</f>
        <v>175654.56057863019</v>
      </c>
      <c r="Z14" s="48">
        <f t="shared" ref="Z14" si="48">Z17/1000*((Y15+Z15)/2)</f>
        <v>175710.9690573469</v>
      </c>
      <c r="AA14" s="48">
        <f t="shared" ref="AA14" si="49">AA17/1000*((Z15+AA15)/2)</f>
        <v>175766.00382470293</v>
      </c>
      <c r="AB14" s="48">
        <f t="shared" ref="AB14" si="50">AB17/1000*((AA15+AB15)/2)</f>
        <v>175819.67138132968</v>
      </c>
      <c r="AC14" s="48">
        <f t="shared" ref="AC14" si="51">AC17/1000*((AB15+AC15)/2)</f>
        <v>175790.18489256466</v>
      </c>
      <c r="AD14" s="48">
        <f t="shared" ref="AD14" si="52">AD17/1000*((AC15+AD15)/2)</f>
        <v>175678.16273139513</v>
      </c>
      <c r="AE14" s="48">
        <f t="shared" ref="AE14" si="53">AE17/1000*((AD15+AE15)/2)</f>
        <v>175565.60606850221</v>
      </c>
      <c r="AF14" s="48">
        <f t="shared" ref="AF14" si="54">AF17/1000*((AE15+AF15)/2)</f>
        <v>175452.51826638068</v>
      </c>
      <c r="AG14" s="48">
        <f t="shared" ref="AG14:AM14" si="55">AG17/1000*((AF15+AG15)/2)</f>
        <v>175338.90267407891</v>
      </c>
      <c r="AH14" s="48">
        <f t="shared" si="55"/>
        <v>175224.76262724496</v>
      </c>
      <c r="AI14" s="48">
        <f t="shared" si="55"/>
        <v>175110.10144817227</v>
      </c>
      <c r="AJ14" s="48">
        <f t="shared" si="55"/>
        <v>174994.92244584594</v>
      </c>
      <c r="AK14" s="48">
        <f t="shared" si="55"/>
        <v>174879.22891598818</v>
      </c>
      <c r="AL14" s="48">
        <f t="shared" si="55"/>
        <v>174763.02414110396</v>
      </c>
      <c r="AM14" s="48">
        <f t="shared" si="55"/>
        <v>174646.31139052645</v>
      </c>
    </row>
    <row r="15" spans="1:39" s="71" customFormat="1" ht="15" customHeight="1">
      <c r="A15" s="71" t="s">
        <v>8</v>
      </c>
      <c r="B15" s="90">
        <f t="shared" ref="B15" si="56">+B5+B10</f>
        <v>4243</v>
      </c>
      <c r="C15" s="90">
        <f t="shared" ref="C15:D15" si="57">+C5+C10</f>
        <v>4239</v>
      </c>
      <c r="D15" s="90">
        <f t="shared" si="57"/>
        <v>4242</v>
      </c>
      <c r="E15" s="90">
        <f>+E5+E10</f>
        <v>4259</v>
      </c>
      <c r="F15" s="90">
        <f>+F5+F10</f>
        <v>4273</v>
      </c>
      <c r="G15" s="90">
        <f t="shared" ref="G15:S15" si="58">+G5+G10</f>
        <v>4279</v>
      </c>
      <c r="H15" s="90">
        <f t="shared" si="42"/>
        <v>4366</v>
      </c>
      <c r="I15" s="90">
        <f t="shared" si="42"/>
        <v>4483</v>
      </c>
      <c r="J15" s="90">
        <f>+J5+J10</f>
        <v>4545</v>
      </c>
      <c r="K15" s="90">
        <f t="shared" si="42"/>
        <v>4636</v>
      </c>
      <c r="L15" s="90">
        <f t="shared" ref="L15:M15" si="59">+L5+L10</f>
        <v>4756</v>
      </c>
      <c r="M15" s="90">
        <f t="shared" si="59"/>
        <v>4955</v>
      </c>
      <c r="N15" s="90">
        <f t="shared" ref="N15:O15" si="60">+N5+N10</f>
        <v>5141</v>
      </c>
      <c r="O15" s="90">
        <f t="shared" si="60"/>
        <v>5186</v>
      </c>
      <c r="P15" s="90">
        <f t="shared" si="58"/>
        <v>5207</v>
      </c>
      <c r="Q15" s="90">
        <f t="shared" si="58"/>
        <v>5228</v>
      </c>
      <c r="R15" s="149">
        <f t="shared" si="58"/>
        <v>5239</v>
      </c>
      <c r="S15" s="66">
        <f t="shared" si="58"/>
        <v>5251</v>
      </c>
      <c r="T15" s="66">
        <f t="shared" si="45"/>
        <v>5262</v>
      </c>
      <c r="U15" s="66">
        <f t="shared" si="45"/>
        <v>5274</v>
      </c>
      <c r="V15" s="66">
        <f t="shared" si="45"/>
        <v>5285</v>
      </c>
      <c r="W15" s="66">
        <f t="shared" ref="W15:X15" si="61">+W5+W10</f>
        <v>5297</v>
      </c>
      <c r="X15" s="66">
        <f t="shared" si="61"/>
        <v>5308</v>
      </c>
      <c r="Y15" s="48">
        <f t="shared" ref="Y15" si="62">X15+Y16</f>
        <v>5323</v>
      </c>
      <c r="Z15" s="48">
        <f t="shared" ref="Z15" si="63">Y15+Z16</f>
        <v>5338</v>
      </c>
      <c r="AA15" s="48">
        <f t="shared" ref="AA15" si="64">Z15+AA16</f>
        <v>5353</v>
      </c>
      <c r="AB15" s="48">
        <f t="shared" ref="AB15" si="65">AA15+AB16</f>
        <v>5368</v>
      </c>
      <c r="AC15" s="48">
        <f t="shared" ref="AC15" si="66">AB15+AC16</f>
        <v>5378</v>
      </c>
      <c r="AD15" s="48">
        <f t="shared" ref="AD15" si="67">AC15+AD16</f>
        <v>5388</v>
      </c>
      <c r="AE15" s="48">
        <f t="shared" ref="AE15" si="68">AD15+AE16</f>
        <v>5398</v>
      </c>
      <c r="AF15" s="48">
        <f t="shared" ref="AF15" si="69">AE15+AF16</f>
        <v>5408</v>
      </c>
      <c r="AG15" s="48">
        <f t="shared" ref="AG15:AM15" si="70">AF15+AG16</f>
        <v>5418</v>
      </c>
      <c r="AH15" s="48">
        <f t="shared" si="70"/>
        <v>5428</v>
      </c>
      <c r="AI15" s="48">
        <f t="shared" si="70"/>
        <v>5438</v>
      </c>
      <c r="AJ15" s="48">
        <f t="shared" si="70"/>
        <v>5448</v>
      </c>
      <c r="AK15" s="48">
        <f t="shared" si="70"/>
        <v>5458</v>
      </c>
      <c r="AL15" s="48">
        <f t="shared" si="70"/>
        <v>5468</v>
      </c>
      <c r="AM15" s="48">
        <f t="shared" si="70"/>
        <v>5478</v>
      </c>
    </row>
    <row r="16" spans="1:39" s="71" customFormat="1" ht="15" customHeight="1">
      <c r="A16" s="71" t="s">
        <v>7</v>
      </c>
      <c r="B16" s="90"/>
      <c r="C16" s="90"/>
      <c r="D16" s="90">
        <f t="shared" ref="D16" si="71">D15-C15</f>
        <v>3</v>
      </c>
      <c r="E16" s="90">
        <f>E15-D15</f>
        <v>17</v>
      </c>
      <c r="F16" s="90">
        <f>F15-E15</f>
        <v>14</v>
      </c>
      <c r="G16" s="90">
        <f t="shared" ref="G16:H16" si="72">G15-F15</f>
        <v>6</v>
      </c>
      <c r="H16" s="90">
        <f t="shared" si="72"/>
        <v>87</v>
      </c>
      <c r="I16" s="90">
        <f>I15-H15</f>
        <v>117</v>
      </c>
      <c r="J16" s="90">
        <f>J15-I15</f>
        <v>62</v>
      </c>
      <c r="K16" s="90">
        <f>K15-I15</f>
        <v>153</v>
      </c>
      <c r="L16" s="90">
        <f t="shared" ref="L16:M16" si="73">L15-J15</f>
        <v>211</v>
      </c>
      <c r="M16" s="90">
        <f t="shared" si="73"/>
        <v>319</v>
      </c>
      <c r="N16" s="90">
        <f t="shared" ref="N16:O16" si="74">N15-M15</f>
        <v>186</v>
      </c>
      <c r="O16" s="90">
        <f t="shared" si="74"/>
        <v>45</v>
      </c>
      <c r="P16" s="90">
        <f t="shared" ref="P16" si="75">P15-O15</f>
        <v>21</v>
      </c>
      <c r="Q16" s="90">
        <f t="shared" ref="Q16" si="76">Q15-P15</f>
        <v>21</v>
      </c>
      <c r="R16" s="149">
        <f t="shared" ref="R16" si="77">R15-Q15</f>
        <v>11</v>
      </c>
      <c r="S16" s="66">
        <f t="shared" ref="S16" si="78">S15-R15</f>
        <v>12</v>
      </c>
      <c r="T16" s="66">
        <f t="shared" ref="T16:X16" si="79">T15-S15</f>
        <v>11</v>
      </c>
      <c r="U16" s="66">
        <f t="shared" si="79"/>
        <v>12</v>
      </c>
      <c r="V16" s="66">
        <f t="shared" si="79"/>
        <v>11</v>
      </c>
      <c r="W16" s="66">
        <f t="shared" si="79"/>
        <v>12</v>
      </c>
      <c r="X16" s="66">
        <f t="shared" si="79"/>
        <v>11</v>
      </c>
      <c r="Y16" s="49">
        <v>15</v>
      </c>
      <c r="Z16" s="49">
        <v>15</v>
      </c>
      <c r="AA16" s="49">
        <v>15</v>
      </c>
      <c r="AB16" s="49">
        <v>15</v>
      </c>
      <c r="AC16" s="49">
        <v>10</v>
      </c>
      <c r="AD16" s="49">
        <v>10</v>
      </c>
      <c r="AE16" s="49">
        <v>10</v>
      </c>
      <c r="AF16" s="49">
        <v>10</v>
      </c>
      <c r="AG16" s="49">
        <v>10</v>
      </c>
      <c r="AH16" s="49">
        <v>10</v>
      </c>
      <c r="AI16" s="49">
        <v>10</v>
      </c>
      <c r="AJ16" s="49">
        <v>10</v>
      </c>
      <c r="AK16" s="49">
        <v>10</v>
      </c>
      <c r="AL16" s="49">
        <v>10</v>
      </c>
      <c r="AM16" s="49">
        <v>10</v>
      </c>
    </row>
    <row r="17" spans="1:39" s="71" customFormat="1" ht="15" customHeight="1">
      <c r="A17" s="71" t="s">
        <v>6</v>
      </c>
      <c r="B17" s="90"/>
      <c r="C17" s="90"/>
      <c r="D17" s="90">
        <f t="shared" ref="D17" si="80">D14*1000/((C15+D15)/2)</f>
        <v>37478.599221789882</v>
      </c>
      <c r="E17" s="90">
        <f>E14*1000/((D15+E15)/2)</f>
        <v>37876.9556522762</v>
      </c>
      <c r="F17" s="90">
        <f>F14*1000/((E15+F15)/2)</f>
        <v>35282.231598687293</v>
      </c>
      <c r="G17" s="90">
        <f t="shared" ref="G17:X17" si="81">G14*1000/((F15+G15)/2)</f>
        <v>33794.200187090741</v>
      </c>
      <c r="H17" s="90">
        <f t="shared" si="81"/>
        <v>36966.493927125499</v>
      </c>
      <c r="I17" s="90">
        <f>I14*1000/((H15+I15)/2)</f>
        <v>35358.119561532374</v>
      </c>
      <c r="J17" s="90">
        <f>J14*1000/((I15+J15)/2)</f>
        <v>35693.176783340721</v>
      </c>
      <c r="K17" s="90">
        <f>K14*1000/((I15+K15)/2)</f>
        <v>32471.987498629234</v>
      </c>
      <c r="L17" s="90">
        <f t="shared" ref="L17:M17" si="82">L14*1000/((J15+L15)/2)</f>
        <v>34956.011181593378</v>
      </c>
      <c r="M17" s="90">
        <f t="shared" si="82"/>
        <v>34724.207069127304</v>
      </c>
      <c r="N17" s="90">
        <f>N14*1000/((K15+N15)/2)</f>
        <v>34988.851385905698</v>
      </c>
      <c r="O17" s="90">
        <f>O14*1000/((L15+O15)/2)</f>
        <v>35573.438342385838</v>
      </c>
      <c r="P17" s="90">
        <f t="shared" si="81"/>
        <v>34229.669585297794</v>
      </c>
      <c r="Q17" s="90">
        <f t="shared" si="81"/>
        <v>33293.723047436513</v>
      </c>
      <c r="R17" s="149">
        <f t="shared" si="81"/>
        <v>32628.058278398777</v>
      </c>
      <c r="S17" s="66">
        <f t="shared" si="81"/>
        <v>33405.655456870758</v>
      </c>
      <c r="T17" s="66">
        <f t="shared" si="81"/>
        <v>33251.035051094128</v>
      </c>
      <c r="U17" s="66">
        <f t="shared" si="81"/>
        <v>33097.079611983179</v>
      </c>
      <c r="V17" s="66">
        <f t="shared" si="81"/>
        <v>33107.524973249638</v>
      </c>
      <c r="W17" s="66">
        <f t="shared" si="81"/>
        <v>33117.945492617393</v>
      </c>
      <c r="X17" s="66">
        <f t="shared" si="81"/>
        <v>33128.34107423135</v>
      </c>
      <c r="Y17" s="48">
        <f t="shared" ref="Y17:AM17" si="83">X17/1.0025</f>
        <v>33045.726757338009</v>
      </c>
      <c r="Z17" s="48">
        <f t="shared" si="83"/>
        <v>32963.318461185045</v>
      </c>
      <c r="AA17" s="48">
        <f t="shared" si="83"/>
        <v>32881.115672005035</v>
      </c>
      <c r="AB17" s="48">
        <f t="shared" si="83"/>
        <v>32799.117877311757</v>
      </c>
      <c r="AC17" s="48">
        <f t="shared" si="83"/>
        <v>32717.324565897015</v>
      </c>
      <c r="AD17" s="48">
        <f t="shared" si="83"/>
        <v>32635.735227827448</v>
      </c>
      <c r="AE17" s="48">
        <f t="shared" si="83"/>
        <v>32554.349354441347</v>
      </c>
      <c r="AF17" s="48">
        <f t="shared" si="83"/>
        <v>32473.166438345484</v>
      </c>
      <c r="AG17" s="48">
        <f t="shared" si="83"/>
        <v>32392.185973411957</v>
      </c>
      <c r="AH17" s="48">
        <f t="shared" si="83"/>
        <v>32311.407454775021</v>
      </c>
      <c r="AI17" s="48">
        <f t="shared" si="83"/>
        <v>32230.830378827952</v>
      </c>
      <c r="AJ17" s="48">
        <f t="shared" si="83"/>
        <v>32150.454243219905</v>
      </c>
      <c r="AK17" s="48">
        <f t="shared" si="83"/>
        <v>32070.278546852776</v>
      </c>
      <c r="AL17" s="48">
        <f t="shared" si="83"/>
        <v>31990.302789878082</v>
      </c>
      <c r="AM17" s="48">
        <f t="shared" si="83"/>
        <v>31910.526473693848</v>
      </c>
    </row>
    <row r="18" spans="1:39" s="71" customFormat="1" ht="15" customHeight="1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77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</row>
    <row r="19" spans="1:39" s="71" customFormat="1" ht="15" customHeight="1">
      <c r="A19" s="199" t="s">
        <v>23</v>
      </c>
      <c r="B19" s="43">
        <f>+'Wabush System'!B18+'Labrador City System'!B18</f>
        <v>791</v>
      </c>
      <c r="C19" s="43">
        <f>+'Wabush System'!C18+'Labrador City System'!C18</f>
        <v>1704</v>
      </c>
      <c r="D19" s="43">
        <f>+'Wabush System'!D18+'Labrador City System'!D18</f>
        <v>1619</v>
      </c>
      <c r="E19" s="43">
        <f>+'Wabush System'!E18+'Labrador City System'!E18</f>
        <v>1587</v>
      </c>
      <c r="F19" s="43">
        <f>+'Wabush System'!F18+'Labrador City System'!F18</f>
        <v>1410</v>
      </c>
      <c r="G19" s="43">
        <f>+'Wabush System'!G18+'Labrador City System'!G18</f>
        <v>1417</v>
      </c>
      <c r="H19" s="43">
        <f>+'Wabush System'!H18+'Labrador City System'!H18</f>
        <v>1661.22</v>
      </c>
      <c r="I19" s="43">
        <f>+'Wabush System'!I18+'Labrador City System'!I18</f>
        <v>1868</v>
      </c>
      <c r="J19" s="43">
        <f>+'Wabush System'!J18+'Labrador City System'!J18</f>
        <v>1903</v>
      </c>
      <c r="K19" s="43">
        <f>+'Wabush System'!K18+'Labrador City System'!K18</f>
        <v>1958.9359999999999</v>
      </c>
      <c r="L19" s="43">
        <f>+'Wabush System'!L18+'Labrador City System'!L18</f>
        <v>2249</v>
      </c>
      <c r="M19" s="43">
        <f>+'Wabush System'!M18+'Labrador City System'!M18</f>
        <v>2942.7020000000002</v>
      </c>
      <c r="N19" s="43">
        <f>+'Wabush System'!N18+'Labrador City System'!N18</f>
        <v>2894</v>
      </c>
      <c r="O19" s="43">
        <f>+'Wabush System'!O18+'Labrador City System'!O18</f>
        <v>2780.8420000000001</v>
      </c>
      <c r="P19" s="43">
        <f>+'Wabush System'!P18+'Labrador City System'!P18</f>
        <v>2463.567</v>
      </c>
      <c r="Q19" s="43">
        <f>+'Wabush System'!Q18+'Labrador City System'!Q18</f>
        <v>2216</v>
      </c>
      <c r="R19" s="77">
        <f>+'Wabush System'!R18+'Labrador City System'!R18</f>
        <v>2646.6320000000001</v>
      </c>
      <c r="S19" s="49">
        <f>+'Wabush System'!S18+'Labrador City System'!S18</f>
        <v>2501.7494093153005</v>
      </c>
      <c r="T19" s="49">
        <f>+'Wabush System'!T18+'Labrador City System'!T18</f>
        <v>2523.2459147287645</v>
      </c>
      <c r="U19" s="49">
        <f>+'Wabush System'!U18+'Labrador City System'!U18</f>
        <v>2544.7424201422291</v>
      </c>
      <c r="V19" s="49">
        <f>+'Wabush System'!V18+'Labrador City System'!V18</f>
        <v>2566.2389255556932</v>
      </c>
      <c r="W19" s="49">
        <f>+'Wabush System'!W18+'Labrador City System'!W18</f>
        <v>2587.7354309691573</v>
      </c>
      <c r="X19" s="49">
        <f>+'Wabush System'!X18+'Labrador City System'!X18</f>
        <v>2609.2319363826218</v>
      </c>
      <c r="Y19" s="48">
        <f t="shared" ref="Y19:AM19" si="84">X19+(($S19-$C19)/16*0.5)</f>
        <v>2634.1616054237252</v>
      </c>
      <c r="Z19" s="48">
        <f t="shared" si="84"/>
        <v>2659.0912744648285</v>
      </c>
      <c r="AA19" s="48">
        <f t="shared" si="84"/>
        <v>2684.0209435059319</v>
      </c>
      <c r="AB19" s="48">
        <f t="shared" si="84"/>
        <v>2708.9506125470352</v>
      </c>
      <c r="AC19" s="48">
        <f t="shared" si="84"/>
        <v>2733.8802815881386</v>
      </c>
      <c r="AD19" s="48">
        <f t="shared" si="84"/>
        <v>2758.8099506292419</v>
      </c>
      <c r="AE19" s="48">
        <f t="shared" si="84"/>
        <v>2783.7396196703453</v>
      </c>
      <c r="AF19" s="48">
        <f t="shared" si="84"/>
        <v>2808.6692887114486</v>
      </c>
      <c r="AG19" s="48">
        <f t="shared" si="84"/>
        <v>2833.598957752552</v>
      </c>
      <c r="AH19" s="48">
        <f t="shared" si="84"/>
        <v>2858.5286267936553</v>
      </c>
      <c r="AI19" s="48">
        <f t="shared" si="84"/>
        <v>2883.4582958347587</v>
      </c>
      <c r="AJ19" s="48">
        <f t="shared" si="84"/>
        <v>2908.3879648758621</v>
      </c>
      <c r="AK19" s="48">
        <f t="shared" si="84"/>
        <v>2933.3176339169654</v>
      </c>
      <c r="AL19" s="48">
        <f t="shared" si="84"/>
        <v>2958.2473029580688</v>
      </c>
      <c r="AM19" s="48">
        <f t="shared" si="84"/>
        <v>2983.1769719991721</v>
      </c>
    </row>
    <row r="20" spans="1:39" s="71" customFormat="1" ht="15" customHeight="1">
      <c r="A20" s="71" t="s">
        <v>0</v>
      </c>
      <c r="B20" s="43">
        <f>+'Wabush System'!B19+'Labrador City System'!B19</f>
        <v>51</v>
      </c>
      <c r="C20" s="43">
        <f>+'Wabush System'!C19+'Labrador City System'!C19</f>
        <v>156</v>
      </c>
      <c r="D20" s="43">
        <f>+'Wabush System'!D19+'Labrador City System'!D19</f>
        <v>154</v>
      </c>
      <c r="E20" s="43">
        <f>+'Wabush System'!E19+'Labrador City System'!E19</f>
        <v>150</v>
      </c>
      <c r="F20" s="43">
        <f>+'Wabush System'!F19+'Labrador City System'!F19</f>
        <v>152</v>
      </c>
      <c r="G20" s="43">
        <f>+'Wabush System'!G19+'Labrador City System'!G19</f>
        <v>140</v>
      </c>
      <c r="H20" s="43">
        <f>+'Wabush System'!H19+'Labrador City System'!H19</f>
        <v>151</v>
      </c>
      <c r="I20" s="43">
        <f>+'Wabush System'!I19+'Labrador City System'!I19</f>
        <v>169</v>
      </c>
      <c r="J20" s="43">
        <f>+'Wabush System'!J19+'Labrador City System'!J19</f>
        <v>177</v>
      </c>
      <c r="K20" s="43">
        <f>+'Wabush System'!K19+'Labrador City System'!K19</f>
        <v>191</v>
      </c>
      <c r="L20" s="43">
        <f>+'Wabush System'!L19+'Labrador City System'!L19</f>
        <v>210</v>
      </c>
      <c r="M20" s="43">
        <f>+'Wabush System'!M19+'Labrador City System'!M19</f>
        <v>222</v>
      </c>
      <c r="N20" s="43">
        <f>+'Wabush System'!N19+'Labrador City System'!N19</f>
        <v>219</v>
      </c>
      <c r="O20" s="43">
        <f>+'Wabush System'!O19+'Labrador City System'!O19</f>
        <v>230</v>
      </c>
      <c r="P20" s="43">
        <f>+'Wabush System'!P19+'Labrador City System'!P19</f>
        <v>228</v>
      </c>
      <c r="Q20" s="43">
        <f>+'Wabush System'!Q19+'Labrador City System'!Q19</f>
        <v>231</v>
      </c>
      <c r="R20" s="77">
        <f>+'Wabush System'!R19+'Labrador City System'!R19</f>
        <v>239</v>
      </c>
      <c r="S20" s="49">
        <f>+'Wabush System'!S19+'Labrador City System'!S19</f>
        <v>239</v>
      </c>
      <c r="T20" s="49">
        <f>+'Wabush System'!T19+'Labrador City System'!T19</f>
        <v>241</v>
      </c>
      <c r="U20" s="49">
        <f>+'Wabush System'!U19+'Labrador City System'!U19</f>
        <v>242</v>
      </c>
      <c r="V20" s="49">
        <f>+'Wabush System'!V19+'Labrador City System'!V19</f>
        <v>244</v>
      </c>
      <c r="W20" s="49">
        <f>+'Wabush System'!W19+'Labrador City System'!W19</f>
        <v>246</v>
      </c>
      <c r="X20" s="49">
        <f>+'Wabush System'!X19+'Labrador City System'!X19</f>
        <v>249</v>
      </c>
      <c r="Y20" s="48">
        <f t="shared" ref="Y20:AM20" si="85">ROUND(Y19*$W20/$W19,0)</f>
        <v>250</v>
      </c>
      <c r="Z20" s="48">
        <f t="shared" si="85"/>
        <v>253</v>
      </c>
      <c r="AA20" s="48">
        <f t="shared" si="85"/>
        <v>255</v>
      </c>
      <c r="AB20" s="48">
        <f t="shared" si="85"/>
        <v>258</v>
      </c>
      <c r="AC20" s="48">
        <f t="shared" si="85"/>
        <v>260</v>
      </c>
      <c r="AD20" s="48">
        <f t="shared" si="85"/>
        <v>262</v>
      </c>
      <c r="AE20" s="48">
        <f t="shared" si="85"/>
        <v>265</v>
      </c>
      <c r="AF20" s="48">
        <f t="shared" si="85"/>
        <v>267</v>
      </c>
      <c r="AG20" s="48">
        <f t="shared" si="85"/>
        <v>269</v>
      </c>
      <c r="AH20" s="48">
        <f t="shared" si="85"/>
        <v>272</v>
      </c>
      <c r="AI20" s="48">
        <f t="shared" si="85"/>
        <v>274</v>
      </c>
      <c r="AJ20" s="48">
        <f t="shared" si="85"/>
        <v>276</v>
      </c>
      <c r="AK20" s="48">
        <f t="shared" si="85"/>
        <v>279</v>
      </c>
      <c r="AL20" s="48">
        <f t="shared" si="85"/>
        <v>281</v>
      </c>
      <c r="AM20" s="48">
        <f t="shared" si="85"/>
        <v>284</v>
      </c>
    </row>
    <row r="21" spans="1:39" s="71" customFormat="1" ht="15" customHeight="1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77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</row>
    <row r="22" spans="1:39" s="71" customFormat="1" ht="15" customHeight="1">
      <c r="A22" s="199" t="s">
        <v>24</v>
      </c>
      <c r="B22" s="43">
        <f>+'Wabush System'!B21+'Labrador City System'!B21</f>
        <v>10957</v>
      </c>
      <c r="C22" s="43">
        <f>+'Wabush System'!C21+'Labrador City System'!C21</f>
        <v>28924</v>
      </c>
      <c r="D22" s="43">
        <f>+'Wabush System'!D21+'Labrador City System'!D21</f>
        <v>28885</v>
      </c>
      <c r="E22" s="43">
        <f>+'Wabush System'!E21+'Labrador City System'!E21</f>
        <v>31207</v>
      </c>
      <c r="F22" s="43">
        <f>+'Wabush System'!F21+'Labrador City System'!F21</f>
        <v>29496</v>
      </c>
      <c r="G22" s="43">
        <f>+'Wabush System'!G21+'Labrador City System'!G21</f>
        <v>28341</v>
      </c>
      <c r="H22" s="43">
        <f>+'Wabush System'!H21+'Labrador City System'!H21</f>
        <v>29707.79</v>
      </c>
      <c r="I22" s="43">
        <f>+'Wabush System'!I21+'Labrador City System'!I21</f>
        <v>30307</v>
      </c>
      <c r="J22" s="43">
        <f>+'Wabush System'!J21+'Labrador City System'!J21</f>
        <v>30794.991999999998</v>
      </c>
      <c r="K22" s="43">
        <f>+'Wabush System'!K21+'Labrador City System'!K21</f>
        <v>28979.39</v>
      </c>
      <c r="L22" s="43">
        <f>+'Wabush System'!L21+'Labrador City System'!L21</f>
        <v>31647</v>
      </c>
      <c r="M22" s="43">
        <f>+'Wabush System'!M21+'Labrador City System'!M21</f>
        <v>34290.983999999997</v>
      </c>
      <c r="N22" s="43">
        <f>+'Wabush System'!N21+'Labrador City System'!N21</f>
        <v>35133</v>
      </c>
      <c r="O22" s="43">
        <f>+'Wabush System'!O21+'Labrador City System'!O21</f>
        <v>37359.656999999999</v>
      </c>
      <c r="P22" s="43">
        <f>+'Wabush System'!P21+'Labrador City System'!P21</f>
        <v>34545.334000000003</v>
      </c>
      <c r="Q22" s="43">
        <f>+'Wabush System'!Q21+'Labrador City System'!Q21</f>
        <v>36302</v>
      </c>
      <c r="R22" s="77">
        <f>+'Wabush System'!R21+'Labrador City System'!R21</f>
        <v>36765.15</v>
      </c>
      <c r="S22" s="49">
        <f>+'Wabush System'!S21+'Labrador City System'!S21</f>
        <v>36821.248244395269</v>
      </c>
      <c r="T22" s="49">
        <f>+'Wabush System'!T21+'Labrador City System'!T21</f>
        <v>37137.248843114627</v>
      </c>
      <c r="U22" s="49">
        <f>+'Wabush System'!U21+'Labrador City System'!U21</f>
        <v>37453.249441833985</v>
      </c>
      <c r="V22" s="49">
        <f>+'Wabush System'!V21+'Labrador City System'!V21</f>
        <v>37769.250040553336</v>
      </c>
      <c r="W22" s="49">
        <f>+'Wabush System'!W21+'Labrador City System'!W21</f>
        <v>38085.250639272701</v>
      </c>
      <c r="X22" s="49">
        <f>+'Wabush System'!X21+'Labrador City System'!X21</f>
        <v>38401.251237992059</v>
      </c>
      <c r="Y22" s="48">
        <f t="shared" ref="Y22:AM22" si="86">X22+(($S22-$C22)/16*0.5)</f>
        <v>38648.04024562941</v>
      </c>
      <c r="Z22" s="48">
        <f t="shared" si="86"/>
        <v>38894.829253266762</v>
      </c>
      <c r="AA22" s="48">
        <f t="shared" si="86"/>
        <v>39141.618260904113</v>
      </c>
      <c r="AB22" s="48">
        <f t="shared" si="86"/>
        <v>39388.407268541465</v>
      </c>
      <c r="AC22" s="48">
        <f t="shared" si="86"/>
        <v>39635.196276178816</v>
      </c>
      <c r="AD22" s="48">
        <f t="shared" si="86"/>
        <v>39881.985283816168</v>
      </c>
      <c r="AE22" s="48">
        <f t="shared" si="86"/>
        <v>40128.774291453519</v>
      </c>
      <c r="AF22" s="48">
        <f t="shared" si="86"/>
        <v>40375.563299090871</v>
      </c>
      <c r="AG22" s="48">
        <f t="shared" si="86"/>
        <v>40622.352306728222</v>
      </c>
      <c r="AH22" s="48">
        <f t="shared" si="86"/>
        <v>40869.141314365574</v>
      </c>
      <c r="AI22" s="48">
        <f t="shared" si="86"/>
        <v>41115.930322002925</v>
      </c>
      <c r="AJ22" s="48">
        <f t="shared" si="86"/>
        <v>41362.719329640277</v>
      </c>
      <c r="AK22" s="48">
        <f t="shared" si="86"/>
        <v>41609.508337277628</v>
      </c>
      <c r="AL22" s="48">
        <f t="shared" si="86"/>
        <v>41856.297344914979</v>
      </c>
      <c r="AM22" s="48">
        <f t="shared" si="86"/>
        <v>42103.086352552331</v>
      </c>
    </row>
    <row r="23" spans="1:39" s="71" customFormat="1" ht="15" customHeight="1">
      <c r="A23" s="71" t="s">
        <v>0</v>
      </c>
      <c r="B23" s="43">
        <f>+'Wabush System'!B22+'Labrador City System'!B22</f>
        <v>106</v>
      </c>
      <c r="C23" s="43">
        <f>+'Wabush System'!C22+'Labrador City System'!C22</f>
        <v>286</v>
      </c>
      <c r="D23" s="43">
        <f>+'Wabush System'!D22+'Labrador City System'!D22</f>
        <v>290</v>
      </c>
      <c r="E23" s="43">
        <f>+'Wabush System'!E22+'Labrador City System'!E22</f>
        <v>284</v>
      </c>
      <c r="F23" s="43">
        <f>+'Wabush System'!F22+'Labrador City System'!F22</f>
        <v>284</v>
      </c>
      <c r="G23" s="43">
        <f>+'Wabush System'!G22+'Labrador City System'!G22</f>
        <v>289</v>
      </c>
      <c r="H23" s="43">
        <f>+'Wabush System'!H22+'Labrador City System'!H22</f>
        <v>290</v>
      </c>
      <c r="I23" s="43">
        <f>+'Wabush System'!I22+'Labrador City System'!I22</f>
        <v>308</v>
      </c>
      <c r="J23" s="43">
        <f>+'Wabush System'!J22+'Labrador City System'!J22</f>
        <v>308</v>
      </c>
      <c r="K23" s="43">
        <f>+'Wabush System'!K22+'Labrador City System'!K22</f>
        <v>305</v>
      </c>
      <c r="L23" s="43">
        <f>+'Wabush System'!L22+'Labrador City System'!L22</f>
        <v>308</v>
      </c>
      <c r="M23" s="43">
        <f>+'Wabush System'!M22+'Labrador City System'!M22</f>
        <v>322</v>
      </c>
      <c r="N23" s="43">
        <f>+'Wabush System'!N22+'Labrador City System'!N22</f>
        <v>332</v>
      </c>
      <c r="O23" s="43">
        <f>+'Wabush System'!O22+'Labrador City System'!O22</f>
        <v>323</v>
      </c>
      <c r="P23" s="43">
        <f>+'Wabush System'!P22+'Labrador City System'!P22</f>
        <v>330</v>
      </c>
      <c r="Q23" s="43">
        <f>+'Wabush System'!Q22+'Labrador City System'!Q22</f>
        <v>339</v>
      </c>
      <c r="R23" s="77">
        <f>+'Wabush System'!R22+'Labrador City System'!R22</f>
        <v>338</v>
      </c>
      <c r="S23" s="49">
        <f>+'Wabush System'!S22+'Labrador City System'!S22</f>
        <v>343</v>
      </c>
      <c r="T23" s="49">
        <f>+'Wabush System'!T22+'Labrador City System'!T22</f>
        <v>346</v>
      </c>
      <c r="U23" s="49">
        <f>+'Wabush System'!U22+'Labrador City System'!U22</f>
        <v>350</v>
      </c>
      <c r="V23" s="49">
        <f>+'Wabush System'!V22+'Labrador City System'!V22</f>
        <v>353</v>
      </c>
      <c r="W23" s="49">
        <f>+'Wabush System'!W22+'Labrador City System'!W22</f>
        <v>356</v>
      </c>
      <c r="X23" s="49">
        <f>+'Wabush System'!X22+'Labrador City System'!X22</f>
        <v>358</v>
      </c>
      <c r="Y23" s="48">
        <f t="shared" ref="Y23:AM23" si="87">ROUND(Y22*$W23/$W22,0)</f>
        <v>361</v>
      </c>
      <c r="Z23" s="48">
        <f t="shared" si="87"/>
        <v>364</v>
      </c>
      <c r="AA23" s="48">
        <f t="shared" si="87"/>
        <v>366</v>
      </c>
      <c r="AB23" s="48">
        <f t="shared" si="87"/>
        <v>368</v>
      </c>
      <c r="AC23" s="48">
        <f t="shared" si="87"/>
        <v>370</v>
      </c>
      <c r="AD23" s="48">
        <f t="shared" si="87"/>
        <v>373</v>
      </c>
      <c r="AE23" s="48">
        <f t="shared" si="87"/>
        <v>375</v>
      </c>
      <c r="AF23" s="48">
        <f t="shared" si="87"/>
        <v>377</v>
      </c>
      <c r="AG23" s="48">
        <f t="shared" si="87"/>
        <v>380</v>
      </c>
      <c r="AH23" s="48">
        <f t="shared" si="87"/>
        <v>382</v>
      </c>
      <c r="AI23" s="48">
        <f t="shared" si="87"/>
        <v>384</v>
      </c>
      <c r="AJ23" s="48">
        <f t="shared" si="87"/>
        <v>387</v>
      </c>
      <c r="AK23" s="48">
        <f t="shared" si="87"/>
        <v>389</v>
      </c>
      <c r="AL23" s="48">
        <f t="shared" si="87"/>
        <v>391</v>
      </c>
      <c r="AM23" s="48">
        <f t="shared" si="87"/>
        <v>394</v>
      </c>
    </row>
    <row r="24" spans="1:39" s="71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149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</row>
    <row r="25" spans="1:39" s="71" customFormat="1" ht="15" customHeight="1">
      <c r="A25" s="199" t="s">
        <v>25</v>
      </c>
      <c r="B25" s="43">
        <f>+'Wabush System'!B24+'Labrador City System'!B24</f>
        <v>15231</v>
      </c>
      <c r="C25" s="43">
        <f>+'Wabush System'!C24+'Labrador City System'!C24</f>
        <v>53531</v>
      </c>
      <c r="D25" s="43">
        <f>+'Wabush System'!D24+'Labrador City System'!D24</f>
        <v>50718</v>
      </c>
      <c r="E25" s="43">
        <f>+'Wabush System'!E24+'Labrador City System'!E24</f>
        <v>53341</v>
      </c>
      <c r="F25" s="43">
        <f>+'Wabush System'!F24+'Labrador City System'!F24</f>
        <v>50692</v>
      </c>
      <c r="G25" s="43">
        <f>+'Wabush System'!G24+'Labrador City System'!G24</f>
        <v>52003</v>
      </c>
      <c r="H25" s="43">
        <f>+'Wabush System'!H24+'Labrador City System'!H24</f>
        <v>58193.899999999994</v>
      </c>
      <c r="I25" s="43">
        <f>+'Wabush System'!I24+'Labrador City System'!I24</f>
        <v>60381</v>
      </c>
      <c r="J25" s="43">
        <f>+'Wabush System'!J24+'Labrador City System'!J24</f>
        <v>61781.556000000004</v>
      </c>
      <c r="K25" s="43">
        <f>+'Wabush System'!K24+'Labrador City System'!K24</f>
        <v>56671.582999999999</v>
      </c>
      <c r="L25" s="43">
        <f>+'Wabush System'!L24+'Labrador City System'!L24</f>
        <v>66509</v>
      </c>
      <c r="M25" s="43">
        <f>+'Wabush System'!M24+'Labrador City System'!M24</f>
        <v>79052.065000000002</v>
      </c>
      <c r="N25" s="43">
        <f>+'Wabush System'!N24+'Labrador City System'!N24</f>
        <v>75614</v>
      </c>
      <c r="O25" s="43">
        <f>+'Wabush System'!O24+'Labrador City System'!O24</f>
        <v>91102.582999999999</v>
      </c>
      <c r="P25" s="43">
        <f>+'Wabush System'!P24+'Labrador City System'!P24</f>
        <v>83818.925999999992</v>
      </c>
      <c r="Q25" s="43">
        <f>+'Wabush System'!Q24+'Labrador City System'!Q24</f>
        <v>76641</v>
      </c>
      <c r="R25" s="77">
        <f>+'Wabush System'!R24+'Labrador City System'!R24</f>
        <v>80400.338000000003</v>
      </c>
      <c r="S25" s="49">
        <f>+'Wabush System'!S24+'Labrador City System'!S24</f>
        <v>80064.327368919927</v>
      </c>
      <c r="T25" s="49">
        <f>+'Wabush System'!T24+'Labrador City System'!T24</f>
        <v>80813.066793104183</v>
      </c>
      <c r="U25" s="49">
        <f>+'Wabush System'!U24+'Labrador City System'!U24</f>
        <v>80813.066793104183</v>
      </c>
      <c r="V25" s="49">
        <f>+'Wabush System'!V24+'Labrador City System'!V24</f>
        <v>80813.066793104183</v>
      </c>
      <c r="W25" s="49">
        <f>+'Wabush System'!W24+'Labrador City System'!W24</f>
        <v>80813.066793104183</v>
      </c>
      <c r="X25" s="49">
        <f>+'Wabush System'!X24+'Labrador City System'!X24</f>
        <v>80813.066793104183</v>
      </c>
      <c r="Y25" s="48">
        <f t="shared" ref="Y25:AM25" si="88">X25+(($S25-$C25)/16*0.5)</f>
        <v>81642.233273382924</v>
      </c>
      <c r="Z25" s="48">
        <f t="shared" si="88"/>
        <v>82471.399753661666</v>
      </c>
      <c r="AA25" s="48">
        <f t="shared" si="88"/>
        <v>83300.566233940408</v>
      </c>
      <c r="AB25" s="48">
        <f t="shared" si="88"/>
        <v>84129.73271421915</v>
      </c>
      <c r="AC25" s="48">
        <f t="shared" si="88"/>
        <v>84958.899194497892</v>
      </c>
      <c r="AD25" s="48">
        <f t="shared" si="88"/>
        <v>85788.065674776633</v>
      </c>
      <c r="AE25" s="48">
        <f t="shared" si="88"/>
        <v>86617.232155055375</v>
      </c>
      <c r="AF25" s="48">
        <f t="shared" si="88"/>
        <v>87446.398635334117</v>
      </c>
      <c r="AG25" s="48">
        <f t="shared" si="88"/>
        <v>88275.565115612859</v>
      </c>
      <c r="AH25" s="48">
        <f t="shared" si="88"/>
        <v>89104.731595891601</v>
      </c>
      <c r="AI25" s="48">
        <f t="shared" si="88"/>
        <v>89933.898076170342</v>
      </c>
      <c r="AJ25" s="48">
        <f t="shared" si="88"/>
        <v>90763.064556449084</v>
      </c>
      <c r="AK25" s="48">
        <f t="shared" si="88"/>
        <v>91592.231036727826</v>
      </c>
      <c r="AL25" s="48">
        <f t="shared" si="88"/>
        <v>92421.397517006568</v>
      </c>
      <c r="AM25" s="48">
        <f t="shared" si="88"/>
        <v>93250.56399728531</v>
      </c>
    </row>
    <row r="26" spans="1:39" s="71" customFormat="1" ht="15" customHeight="1">
      <c r="A26" s="71" t="s">
        <v>0</v>
      </c>
      <c r="B26" s="43">
        <f>+'Wabush System'!B25+'Labrador City System'!B25</f>
        <v>24</v>
      </c>
      <c r="C26" s="43">
        <f>+'Wabush System'!C25+'Labrador City System'!C25</f>
        <v>73</v>
      </c>
      <c r="D26" s="43">
        <f>+'Wabush System'!D25+'Labrador City System'!D25</f>
        <v>71</v>
      </c>
      <c r="E26" s="43">
        <f>+'Wabush System'!E25+'Labrador City System'!E25</f>
        <v>77</v>
      </c>
      <c r="F26" s="43">
        <f>+'Wabush System'!F25+'Labrador City System'!F25</f>
        <v>74</v>
      </c>
      <c r="G26" s="43">
        <f>+'Wabush System'!G25+'Labrador City System'!G25</f>
        <v>79</v>
      </c>
      <c r="H26" s="43">
        <f>+'Wabush System'!H25+'Labrador City System'!H25</f>
        <v>82</v>
      </c>
      <c r="I26" s="43">
        <f>+'Wabush System'!I25+'Labrador City System'!I25</f>
        <v>89</v>
      </c>
      <c r="J26" s="43">
        <f>+'Wabush System'!J25+'Labrador City System'!J25</f>
        <v>85</v>
      </c>
      <c r="K26" s="43">
        <f>+'Wabush System'!K25+'Labrador City System'!K25</f>
        <v>90</v>
      </c>
      <c r="L26" s="43">
        <f>+'Wabush System'!L25+'Labrador City System'!L25</f>
        <v>100</v>
      </c>
      <c r="M26" s="43">
        <f>+'Wabush System'!M25+'Labrador City System'!M25</f>
        <v>109</v>
      </c>
      <c r="N26" s="43">
        <f>+'Wabush System'!N25+'Labrador City System'!N25</f>
        <v>110</v>
      </c>
      <c r="O26" s="43">
        <f>+'Wabush System'!O25+'Labrador City System'!O25</f>
        <v>122</v>
      </c>
      <c r="P26" s="43">
        <f>+'Wabush System'!P25+'Labrador City System'!P25</f>
        <v>120</v>
      </c>
      <c r="Q26" s="43">
        <f>+'Wabush System'!Q25+'Labrador City System'!Q25</f>
        <v>111</v>
      </c>
      <c r="R26" s="77">
        <f>+'Wabush System'!R25+'Labrador City System'!R25</f>
        <v>109</v>
      </c>
      <c r="S26" s="49">
        <f>+'Wabush System'!S25+'Labrador City System'!S25</f>
        <v>111</v>
      </c>
      <c r="T26" s="49">
        <f>+'Wabush System'!T25+'Labrador City System'!T25</f>
        <v>112</v>
      </c>
      <c r="U26" s="49">
        <f>+'Wabush System'!U25+'Labrador City System'!U25</f>
        <v>112</v>
      </c>
      <c r="V26" s="49">
        <f>+'Wabush System'!V25+'Labrador City System'!V25</f>
        <v>112</v>
      </c>
      <c r="W26" s="49">
        <f>+'Wabush System'!W25+'Labrador City System'!W25</f>
        <v>112</v>
      </c>
      <c r="X26" s="49">
        <f>+'Wabush System'!X25+'Labrador City System'!X25</f>
        <v>112</v>
      </c>
      <c r="Y26" s="48">
        <f t="shared" ref="Y26:AM26" si="89">ROUND(Y25*$W26/$W25,0)</f>
        <v>113</v>
      </c>
      <c r="Z26" s="48">
        <f t="shared" si="89"/>
        <v>114</v>
      </c>
      <c r="AA26" s="48">
        <f t="shared" si="89"/>
        <v>115</v>
      </c>
      <c r="AB26" s="48">
        <f t="shared" si="89"/>
        <v>117</v>
      </c>
      <c r="AC26" s="48">
        <f t="shared" si="89"/>
        <v>118</v>
      </c>
      <c r="AD26" s="48">
        <f t="shared" si="89"/>
        <v>119</v>
      </c>
      <c r="AE26" s="48">
        <f t="shared" si="89"/>
        <v>120</v>
      </c>
      <c r="AF26" s="48">
        <f t="shared" si="89"/>
        <v>121</v>
      </c>
      <c r="AG26" s="48">
        <f t="shared" si="89"/>
        <v>122</v>
      </c>
      <c r="AH26" s="48">
        <f t="shared" si="89"/>
        <v>123</v>
      </c>
      <c r="AI26" s="48">
        <f t="shared" si="89"/>
        <v>125</v>
      </c>
      <c r="AJ26" s="48">
        <f t="shared" si="89"/>
        <v>126</v>
      </c>
      <c r="AK26" s="48">
        <f t="shared" si="89"/>
        <v>127</v>
      </c>
      <c r="AL26" s="48">
        <f t="shared" si="89"/>
        <v>128</v>
      </c>
      <c r="AM26" s="48">
        <f t="shared" si="89"/>
        <v>129</v>
      </c>
    </row>
    <row r="27" spans="1:39" s="71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149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</row>
    <row r="28" spans="1:39" s="71" customFormat="1" ht="15" customHeight="1">
      <c r="A28" s="199" t="s">
        <v>26</v>
      </c>
      <c r="B28" s="43">
        <f>+'Wabush System'!B27+'Labrador City System'!B27</f>
        <v>0</v>
      </c>
      <c r="C28" s="43">
        <f>+'Wabush System'!C27+'Labrador City System'!C27</f>
        <v>9665</v>
      </c>
      <c r="D28" s="43">
        <f>+'Wabush System'!D27+'Labrador City System'!D27</f>
        <v>8946</v>
      </c>
      <c r="E28" s="43">
        <f>+'Wabush System'!E27+'Labrador City System'!E27</f>
        <v>5453</v>
      </c>
      <c r="F28" s="43">
        <f>+'Wabush System'!F27+'Labrador City System'!F27</f>
        <v>8192</v>
      </c>
      <c r="G28" s="43">
        <f>+'Wabush System'!G27+'Labrador City System'!G27</f>
        <v>6280</v>
      </c>
      <c r="H28" s="43">
        <f>+'Wabush System'!H27+'Labrador City System'!H27</f>
        <v>2629</v>
      </c>
      <c r="I28" s="43">
        <f>+'Wabush System'!I27+'Labrador City System'!I27</f>
        <v>4231</v>
      </c>
      <c r="J28" s="43">
        <f>+'Wabush System'!J27+'Labrador City System'!J27</f>
        <v>4495</v>
      </c>
      <c r="K28" s="43">
        <f>+'Wabush System'!K27+'Labrador City System'!K27</f>
        <v>4713.84</v>
      </c>
      <c r="L28" s="43">
        <f>+'Wabush System'!L27+'Labrador City System'!L27</f>
        <v>5244</v>
      </c>
      <c r="M28" s="43">
        <f>+'Wabush System'!M27+'Labrador City System'!M27</f>
        <v>0</v>
      </c>
      <c r="N28" s="43">
        <f>+'Wabush System'!N27+'Labrador City System'!N27</f>
        <v>2005</v>
      </c>
      <c r="O28" s="43">
        <f>+'Wabush System'!O27+'Labrador City System'!O27</f>
        <v>1417.8</v>
      </c>
      <c r="P28" s="43">
        <f>+'Wabush System'!P27+'Labrador City System'!P27</f>
        <v>0</v>
      </c>
      <c r="Q28" s="43">
        <f>+'Wabush System'!Q27+'Labrador City System'!Q27</f>
        <v>662</v>
      </c>
      <c r="R28" s="77">
        <f>+'Wabush System'!R27+'Labrador City System'!R27</f>
        <v>26476.799999999999</v>
      </c>
      <c r="S28" s="49">
        <f>+'Wabush System'!S27+'Labrador City System'!S27</f>
        <v>53311.608</v>
      </c>
      <c r="T28" s="49">
        <f>+'Wabush System'!T27+'Labrador City System'!T27</f>
        <v>56865.715200000006</v>
      </c>
      <c r="U28" s="49">
        <f>+'Wabush System'!U27+'Labrador City System'!U27</f>
        <v>68303.822400000005</v>
      </c>
      <c r="V28" s="49">
        <f>+'Wabush System'!V27+'Labrador City System'!V27</f>
        <v>68303.822400000005</v>
      </c>
      <c r="W28" s="49">
        <f>+'Wabush System'!W27+'Labrador City System'!W27</f>
        <v>68303.822400000005</v>
      </c>
      <c r="X28" s="49">
        <f>+'Wabush System'!X27+'Labrador City System'!X27</f>
        <v>68303.822400000005</v>
      </c>
      <c r="Y28" s="64">
        <f t="shared" ref="Y28:AM28" si="90">X28</f>
        <v>68303.822400000005</v>
      </c>
      <c r="Z28" s="64">
        <f t="shared" si="90"/>
        <v>68303.822400000005</v>
      </c>
      <c r="AA28" s="64">
        <f t="shared" si="90"/>
        <v>68303.822400000005</v>
      </c>
      <c r="AB28" s="64">
        <f t="shared" si="90"/>
        <v>68303.822400000005</v>
      </c>
      <c r="AC28" s="64">
        <f t="shared" si="90"/>
        <v>68303.822400000005</v>
      </c>
      <c r="AD28" s="64">
        <f t="shared" si="90"/>
        <v>68303.822400000005</v>
      </c>
      <c r="AE28" s="64">
        <f t="shared" si="90"/>
        <v>68303.822400000005</v>
      </c>
      <c r="AF28" s="64">
        <f t="shared" si="90"/>
        <v>68303.822400000005</v>
      </c>
      <c r="AG28" s="64">
        <f t="shared" si="90"/>
        <v>68303.822400000005</v>
      </c>
      <c r="AH28" s="64">
        <f t="shared" si="90"/>
        <v>68303.822400000005</v>
      </c>
      <c r="AI28" s="64">
        <f t="shared" si="90"/>
        <v>68303.822400000005</v>
      </c>
      <c r="AJ28" s="64">
        <f t="shared" si="90"/>
        <v>68303.822400000005</v>
      </c>
      <c r="AK28" s="64">
        <f t="shared" si="90"/>
        <v>68303.822400000005</v>
      </c>
      <c r="AL28" s="64">
        <f t="shared" si="90"/>
        <v>68303.822400000005</v>
      </c>
      <c r="AM28" s="64">
        <f t="shared" si="90"/>
        <v>68303.822400000005</v>
      </c>
    </row>
    <row r="29" spans="1:39" s="71" customFormat="1" ht="15" customHeight="1">
      <c r="A29" s="71" t="s">
        <v>0</v>
      </c>
      <c r="B29" s="43">
        <f>+'Wabush System'!B28+'Labrador City System'!B28</f>
        <v>0</v>
      </c>
      <c r="C29" s="43">
        <f>+'Wabush System'!C28+'Labrador City System'!C28</f>
        <v>2</v>
      </c>
      <c r="D29" s="43">
        <f>+'Wabush System'!D28+'Labrador City System'!D28</f>
        <v>2</v>
      </c>
      <c r="E29" s="43">
        <f>+'Wabush System'!E28+'Labrador City System'!E28</f>
        <v>1</v>
      </c>
      <c r="F29" s="43">
        <f>+'Wabush System'!F28+'Labrador City System'!F28</f>
        <v>2</v>
      </c>
      <c r="G29" s="43">
        <f>+'Wabush System'!G28+'Labrador City System'!G28</f>
        <v>1</v>
      </c>
      <c r="H29" s="43">
        <f>+'Wabush System'!H28+'Labrador City System'!H28</f>
        <v>1</v>
      </c>
      <c r="I29" s="43">
        <f>+'Wabush System'!I28+'Labrador City System'!I28</f>
        <v>1</v>
      </c>
      <c r="J29" s="43">
        <f>+'Wabush System'!J28+'Labrador City System'!J28</f>
        <v>1</v>
      </c>
      <c r="K29" s="43">
        <f>+'Wabush System'!K28+'Labrador City System'!K28</f>
        <v>1</v>
      </c>
      <c r="L29" s="43">
        <f>+'Wabush System'!L28+'Labrador City System'!L28</f>
        <v>1</v>
      </c>
      <c r="M29" s="43">
        <f>+'Wabush System'!M28+'Labrador City System'!M28</f>
        <v>0</v>
      </c>
      <c r="N29" s="43">
        <f>+'Wabush System'!N28+'Labrador City System'!N28</f>
        <v>1</v>
      </c>
      <c r="O29" s="43">
        <f>+'Wabush System'!O28+'Labrador City System'!O28</f>
        <v>0</v>
      </c>
      <c r="P29" s="43">
        <f>+'Wabush System'!P28+'Labrador City System'!P28</f>
        <v>0</v>
      </c>
      <c r="Q29" s="43">
        <f>+'Wabush System'!Q28+'Labrador City System'!Q28</f>
        <v>1</v>
      </c>
      <c r="R29" s="77">
        <f>+'Wabush System'!R28+'Labrador City System'!R28</f>
        <v>1</v>
      </c>
      <c r="S29" s="49">
        <f>+'Wabush System'!S28+'Labrador City System'!S28</f>
        <v>2</v>
      </c>
      <c r="T29" s="49">
        <f>+'Wabush System'!T28+'Labrador City System'!T28</f>
        <v>2</v>
      </c>
      <c r="U29" s="49">
        <f>+'Wabush System'!U28+'Labrador City System'!U28</f>
        <v>3</v>
      </c>
      <c r="V29" s="49">
        <f>+'Wabush System'!V28+'Labrador City System'!V28</f>
        <v>3</v>
      </c>
      <c r="W29" s="49">
        <f>+'Wabush System'!W28+'Labrador City System'!W28</f>
        <v>3</v>
      </c>
      <c r="X29" s="49">
        <f>+'Wabush System'!X28+'Labrador City System'!X28</f>
        <v>3</v>
      </c>
      <c r="Y29" s="64">
        <f t="shared" ref="Y29:AM29" si="91">X29</f>
        <v>3</v>
      </c>
      <c r="Z29" s="64">
        <f t="shared" si="91"/>
        <v>3</v>
      </c>
      <c r="AA29" s="64">
        <f t="shared" si="91"/>
        <v>3</v>
      </c>
      <c r="AB29" s="64">
        <f t="shared" si="91"/>
        <v>3</v>
      </c>
      <c r="AC29" s="64">
        <f t="shared" si="91"/>
        <v>3</v>
      </c>
      <c r="AD29" s="64">
        <f t="shared" si="91"/>
        <v>3</v>
      </c>
      <c r="AE29" s="64">
        <f t="shared" si="91"/>
        <v>3</v>
      </c>
      <c r="AF29" s="64">
        <f t="shared" si="91"/>
        <v>3</v>
      </c>
      <c r="AG29" s="64">
        <f t="shared" si="91"/>
        <v>3</v>
      </c>
      <c r="AH29" s="64">
        <f t="shared" si="91"/>
        <v>3</v>
      </c>
      <c r="AI29" s="64">
        <f t="shared" si="91"/>
        <v>3</v>
      </c>
      <c r="AJ29" s="64">
        <f t="shared" si="91"/>
        <v>3</v>
      </c>
      <c r="AK29" s="64">
        <f t="shared" si="91"/>
        <v>3</v>
      </c>
      <c r="AL29" s="64">
        <f t="shared" si="91"/>
        <v>3</v>
      </c>
      <c r="AM29" s="64">
        <f t="shared" si="91"/>
        <v>3</v>
      </c>
    </row>
    <row r="30" spans="1:39" s="71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149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</row>
    <row r="31" spans="1:39" s="71" customFormat="1" ht="15" customHeight="1">
      <c r="A31" s="199" t="s">
        <v>15</v>
      </c>
      <c r="B31" s="43">
        <f>+'Wabush System'!B30+'Labrador City System'!B30</f>
        <v>85570</v>
      </c>
      <c r="C31" s="43">
        <f>+'Wabush System'!C30+'Labrador City System'!C30</f>
        <v>93824</v>
      </c>
      <c r="D31" s="43">
        <f>+'Wabush System'!D30+'Labrador City System'!D30</f>
        <v>90168</v>
      </c>
      <c r="E31" s="43">
        <f>+'Wabush System'!E30+'Labrador City System'!E30</f>
        <v>91588</v>
      </c>
      <c r="F31" s="43">
        <f>+'Wabush System'!F30+'Labrador City System'!F30</f>
        <v>89790</v>
      </c>
      <c r="G31" s="43">
        <f>+'Wabush System'!G30+'Labrador City System'!G30</f>
        <v>88041</v>
      </c>
      <c r="H31" s="43">
        <f>+'Wabush System'!H30+'Labrador City System'!H30</f>
        <v>92191.91</v>
      </c>
      <c r="I31" s="43">
        <f>+'Wabush System'!I30+'Labrador City System'!I30</f>
        <v>96787</v>
      </c>
      <c r="J31" s="43">
        <f>+'Wabush System'!J30+'Labrador City System'!J30</f>
        <v>98974.54800000001</v>
      </c>
      <c r="K31" s="43">
        <f>+'Wabush System'!K30+'Labrador City System'!K30</f>
        <v>92323.748999999996</v>
      </c>
      <c r="L31" s="43">
        <f>+'Wabush System'!L30+'Labrador City System'!L30</f>
        <v>105649</v>
      </c>
      <c r="M31" s="43">
        <f>+'Wabush System'!M30+'Labrador City System'!M30</f>
        <v>116285.751</v>
      </c>
      <c r="N31" s="43">
        <f>+'Wabush System'!N30+'Labrador City System'!N30</f>
        <v>115646</v>
      </c>
      <c r="O31" s="43">
        <f>+'Wabush System'!O30+'Labrador City System'!O30</f>
        <v>132660.88200000001</v>
      </c>
      <c r="P31" s="43">
        <f>+'Wabush System'!P30+'Labrador City System'!P30</f>
        <v>120827.82699999999</v>
      </c>
      <c r="Q31" s="43">
        <f>+'Wabush System'!Q30+'Labrador City System'!Q30</f>
        <v>115821</v>
      </c>
      <c r="R31" s="77">
        <f>+'Wabush System'!R30+'Labrador City System'!R30</f>
        <v>146288.91999999998</v>
      </c>
      <c r="S31" s="49">
        <f>+'Wabush System'!S30+'Labrador City System'!S30</f>
        <v>172698.93302263052</v>
      </c>
      <c r="T31" s="49">
        <f>+'Wabush System'!T30+'Labrador City System'!T30</f>
        <v>177339.27675094758</v>
      </c>
      <c r="U31" s="49">
        <f>+'Wabush System'!U30+'Labrador City System'!U30</f>
        <v>189114.88105508042</v>
      </c>
      <c r="V31" s="49">
        <f>+'Wabush System'!V30+'Labrador City System'!V30</f>
        <v>189452.37815921323</v>
      </c>
      <c r="W31" s="49">
        <f>+'Wabush System'!W30+'Labrador City System'!W30</f>
        <v>189789.87526334604</v>
      </c>
      <c r="X31" s="49">
        <f>+'Wabush System'!X30+'Labrador City System'!X30</f>
        <v>190127.37236747891</v>
      </c>
      <c r="Y31" s="48">
        <f t="shared" ref="Y31:AG31" si="92">SUM(Y19,Y22,Y25,Y28)</f>
        <v>191228.25752443605</v>
      </c>
      <c r="Z31" s="48">
        <f t="shared" si="92"/>
        <v>192329.14268139325</v>
      </c>
      <c r="AA31" s="48">
        <f t="shared" si="92"/>
        <v>193430.02783835045</v>
      </c>
      <c r="AB31" s="48">
        <f t="shared" si="92"/>
        <v>194530.91299530765</v>
      </c>
      <c r="AC31" s="48">
        <f t="shared" si="92"/>
        <v>195631.79815226485</v>
      </c>
      <c r="AD31" s="48">
        <f t="shared" si="92"/>
        <v>196732.68330922205</v>
      </c>
      <c r="AE31" s="48">
        <f t="shared" si="92"/>
        <v>197833.56846617925</v>
      </c>
      <c r="AF31" s="48">
        <f t="shared" si="92"/>
        <v>198934.45362313645</v>
      </c>
      <c r="AG31" s="48">
        <f t="shared" si="92"/>
        <v>200035.33878009365</v>
      </c>
      <c r="AH31" s="48">
        <f t="shared" ref="AH31:AI31" si="93">SUM(AH19,AH22,AH25,AH28)</f>
        <v>201136.22393705085</v>
      </c>
      <c r="AI31" s="48">
        <f t="shared" si="93"/>
        <v>202237.10909400805</v>
      </c>
      <c r="AJ31" s="48">
        <f t="shared" ref="AJ31:AK31" si="94">SUM(AJ19,AJ22,AJ25,AJ28)</f>
        <v>203337.99425096522</v>
      </c>
      <c r="AK31" s="48">
        <f t="shared" si="94"/>
        <v>204438.87940792242</v>
      </c>
      <c r="AL31" s="48">
        <f t="shared" ref="AL31:AM31" si="95">SUM(AL19,AL22,AL25,AL28)</f>
        <v>205539.76456487962</v>
      </c>
      <c r="AM31" s="48">
        <f t="shared" si="95"/>
        <v>206640.64972183682</v>
      </c>
    </row>
    <row r="32" spans="1:39" s="71" customFormat="1" ht="15" customHeight="1">
      <c r="A32" s="199" t="s">
        <v>16</v>
      </c>
      <c r="B32" s="43">
        <f>+'Wabush System'!B31+'Labrador City System'!B31</f>
        <v>503</v>
      </c>
      <c r="C32" s="43">
        <f>+'Wabush System'!C31+'Labrador City System'!C31</f>
        <v>517</v>
      </c>
      <c r="D32" s="43">
        <f>+'Wabush System'!D31+'Labrador City System'!D31</f>
        <v>517</v>
      </c>
      <c r="E32" s="43">
        <f>+'Wabush System'!E31+'Labrador City System'!E31</f>
        <v>512</v>
      </c>
      <c r="F32" s="43">
        <f>+'Wabush System'!F31+'Labrador City System'!F31</f>
        <v>512</v>
      </c>
      <c r="G32" s="43">
        <f>+'Wabush System'!G31+'Labrador City System'!G31</f>
        <v>509</v>
      </c>
      <c r="H32" s="43">
        <f>+'Wabush System'!H31+'Labrador City System'!H31</f>
        <v>524</v>
      </c>
      <c r="I32" s="43">
        <f>+'Wabush System'!I31+'Labrador City System'!I31</f>
        <v>567</v>
      </c>
      <c r="J32" s="43">
        <f>+'Wabush System'!J31+'Labrador City System'!J31</f>
        <v>571</v>
      </c>
      <c r="K32" s="43">
        <f>+'Wabush System'!K31+'Labrador City System'!K31</f>
        <v>587</v>
      </c>
      <c r="L32" s="43">
        <f>+'Wabush System'!L31+'Labrador City System'!L31</f>
        <v>619</v>
      </c>
      <c r="M32" s="43">
        <f>+'Wabush System'!M31+'Labrador City System'!M31</f>
        <v>653</v>
      </c>
      <c r="N32" s="43">
        <f>+'Wabush System'!N31+'Labrador City System'!N31</f>
        <v>662</v>
      </c>
      <c r="O32" s="43">
        <f>+'Wabush System'!O31+'Labrador City System'!O31</f>
        <v>675</v>
      </c>
      <c r="P32" s="43">
        <f>+'Wabush System'!P31+'Labrador City System'!P31</f>
        <v>678</v>
      </c>
      <c r="Q32" s="43">
        <f>+'Wabush System'!Q31+'Labrador City System'!Q31</f>
        <v>682</v>
      </c>
      <c r="R32" s="77">
        <f>+'Wabush System'!R31+'Labrador City System'!R31</f>
        <v>687</v>
      </c>
      <c r="S32" s="49">
        <f>+'Wabush System'!S31+'Labrador City System'!S31</f>
        <v>695</v>
      </c>
      <c r="T32" s="49">
        <f>+'Wabush System'!T31+'Labrador City System'!T31</f>
        <v>701</v>
      </c>
      <c r="U32" s="49">
        <f>+'Wabush System'!U31+'Labrador City System'!U31</f>
        <v>707</v>
      </c>
      <c r="V32" s="49">
        <f>+'Wabush System'!V31+'Labrador City System'!V31</f>
        <v>712</v>
      </c>
      <c r="W32" s="49">
        <f>+'Wabush System'!W31+'Labrador City System'!W31</f>
        <v>717</v>
      </c>
      <c r="X32" s="49">
        <f>+'Wabush System'!X31+'Labrador City System'!X31</f>
        <v>722</v>
      </c>
      <c r="Y32" s="48">
        <f t="shared" ref="Y32:AG32" si="96">SUM(Y20,Y23,Y26,Y29)</f>
        <v>727</v>
      </c>
      <c r="Z32" s="48">
        <f t="shared" si="96"/>
        <v>734</v>
      </c>
      <c r="AA32" s="48">
        <f t="shared" si="96"/>
        <v>739</v>
      </c>
      <c r="AB32" s="48">
        <f t="shared" si="96"/>
        <v>746</v>
      </c>
      <c r="AC32" s="48">
        <f t="shared" si="96"/>
        <v>751</v>
      </c>
      <c r="AD32" s="48">
        <f t="shared" si="96"/>
        <v>757</v>
      </c>
      <c r="AE32" s="48">
        <f t="shared" si="96"/>
        <v>763</v>
      </c>
      <c r="AF32" s="48">
        <f t="shared" si="96"/>
        <v>768</v>
      </c>
      <c r="AG32" s="48">
        <f t="shared" si="96"/>
        <v>774</v>
      </c>
      <c r="AH32" s="48">
        <f t="shared" ref="AH32:AI32" si="97">SUM(AH20,AH23,AH26,AH29)</f>
        <v>780</v>
      </c>
      <c r="AI32" s="48">
        <f t="shared" si="97"/>
        <v>786</v>
      </c>
      <c r="AJ32" s="48">
        <f t="shared" ref="AJ32:AK32" si="98">SUM(AJ20,AJ23,AJ26,AJ29)</f>
        <v>792</v>
      </c>
      <c r="AK32" s="48">
        <f t="shared" si="98"/>
        <v>798</v>
      </c>
      <c r="AL32" s="48">
        <f t="shared" ref="AL32:AM32" si="99">SUM(AL20,AL23,AL26,AL29)</f>
        <v>803</v>
      </c>
      <c r="AM32" s="48">
        <f t="shared" si="99"/>
        <v>810</v>
      </c>
    </row>
    <row r="33" spans="1:39" s="71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149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</row>
    <row r="34" spans="1:39" s="71" customFormat="1" ht="15" customHeight="1">
      <c r="A34" s="71" t="s">
        <v>2</v>
      </c>
      <c r="B34" s="43">
        <f>+'Wabush System'!B33+'Labrador City System'!B34</f>
        <v>699</v>
      </c>
      <c r="C34" s="43">
        <f>+'Wabush System'!C33+'Labrador City System'!C34</f>
        <v>709</v>
      </c>
      <c r="D34" s="43">
        <f>+'Wabush System'!D33+'Labrador City System'!D34</f>
        <v>715</v>
      </c>
      <c r="E34" s="43">
        <f>+'Wabush System'!E33+'Labrador City System'!E34</f>
        <v>717</v>
      </c>
      <c r="F34" s="43">
        <f>+'Wabush System'!F33+'Labrador City System'!F34</f>
        <v>722</v>
      </c>
      <c r="G34" s="43">
        <f>+'Wabush System'!G33+'Labrador City System'!G34</f>
        <v>728.2</v>
      </c>
      <c r="H34" s="43">
        <f>+'Wabush System'!H33+'Labrador City System'!H34</f>
        <v>734.8</v>
      </c>
      <c r="I34" s="43">
        <f>+'Wabush System'!I33+'Labrador City System'!I34</f>
        <v>739</v>
      </c>
      <c r="J34" s="43">
        <f>+'Wabush System'!J33+'Labrador City System'!J34</f>
        <v>745</v>
      </c>
      <c r="K34" s="43">
        <f>+'Wabush System'!K33+'Labrador City System'!K34</f>
        <v>746.71100000000001</v>
      </c>
      <c r="L34" s="43">
        <f>+'Wabush System'!L33+'Labrador City System'!L34</f>
        <v>750</v>
      </c>
      <c r="M34" s="43">
        <f>+'Wabush System'!M33+'Labrador City System'!M34</f>
        <v>768.28800000000001</v>
      </c>
      <c r="N34" s="43">
        <f>+'Wabush System'!N33+'Labrador City System'!N34</f>
        <v>778</v>
      </c>
      <c r="O34" s="43">
        <f>+'Wabush System'!O33+'Labrador City System'!O34</f>
        <v>785.43599999999992</v>
      </c>
      <c r="P34" s="43">
        <f>+'Wabush System'!P33+'Labrador City System'!P34</f>
        <v>796.59</v>
      </c>
      <c r="Q34" s="43">
        <f>+'Wabush System'!Q33+'Labrador City System'!Q34</f>
        <v>801</v>
      </c>
      <c r="R34" s="77">
        <f>+'Wabush System'!R33+'Labrador City System'!R34</f>
        <v>814.44899999999996</v>
      </c>
      <c r="S34" s="49">
        <f>+'Wabush System'!S33+'Labrador City System'!S34</f>
        <v>815.44899999999996</v>
      </c>
      <c r="T34" s="49">
        <f>+'Wabush System'!T33+'Labrador City System'!T34</f>
        <v>816.44899999999996</v>
      </c>
      <c r="U34" s="49">
        <f>+'Wabush System'!U33+'Labrador City System'!U34</f>
        <v>817.44899999999996</v>
      </c>
      <c r="V34" s="49">
        <f>+'Wabush System'!V33+'Labrador City System'!V34</f>
        <v>826.15421874999993</v>
      </c>
      <c r="W34" s="49">
        <f>+'Wabush System'!W33+'Labrador City System'!W34</f>
        <v>827.15421874999993</v>
      </c>
      <c r="X34" s="49">
        <f>+'Wabush System'!X33+'Labrador City System'!X34</f>
        <v>828.15421874999993</v>
      </c>
      <c r="Y34" s="103">
        <f>(X34/X35)*0.99*Y35</f>
        <v>825.52697088362061</v>
      </c>
      <c r="Z34" s="103">
        <f t="shared" ref="Z34:AM34" si="100">(Y34/Y35)*0.99*Z35</f>
        <v>822.86945255269382</v>
      </c>
      <c r="AA34" s="103">
        <f t="shared" si="100"/>
        <v>820.18253189129723</v>
      </c>
      <c r="AB34" s="103">
        <f t="shared" si="100"/>
        <v>817.4670626978733</v>
      </c>
      <c r="AC34" s="103">
        <f t="shared" si="100"/>
        <v>814.7238846351288</v>
      </c>
      <c r="AD34" s="103">
        <f t="shared" si="100"/>
        <v>811.95382342736934</v>
      </c>
      <c r="AE34" s="103">
        <f t="shared" si="100"/>
        <v>809.1576910553016</v>
      </c>
      <c r="AF34" s="103">
        <f t="shared" si="100"/>
        <v>806.33628594833249</v>
      </c>
      <c r="AG34" s="103">
        <f t="shared" si="100"/>
        <v>803.49039317439724</v>
      </c>
      <c r="AH34" s="103">
        <f t="shared" si="100"/>
        <v>800.62078462734587</v>
      </c>
      <c r="AI34" s="103">
        <f t="shared" si="100"/>
        <v>797.72821921191803</v>
      </c>
      <c r="AJ34" s="103">
        <f t="shared" si="100"/>
        <v>794.8134430263359</v>
      </c>
      <c r="AK34" s="103">
        <f t="shared" si="100"/>
        <v>791.87718954254444</v>
      </c>
      <c r="AL34" s="103">
        <f t="shared" si="100"/>
        <v>788.92017978412605</v>
      </c>
      <c r="AM34" s="103">
        <f t="shared" si="100"/>
        <v>785.94312250192183</v>
      </c>
    </row>
    <row r="35" spans="1:39" s="71" customFormat="1" ht="15" customHeight="1">
      <c r="A35" s="71" t="s">
        <v>0</v>
      </c>
      <c r="B35" s="43">
        <f>+'Wabush System'!B34+'Labrador City System'!B35</f>
        <v>113</v>
      </c>
      <c r="C35" s="43">
        <f>+'Wabush System'!C34+'Labrador City System'!C35</f>
        <v>119</v>
      </c>
      <c r="D35" s="43">
        <f>+'Wabush System'!D34+'Labrador City System'!D35</f>
        <v>118</v>
      </c>
      <c r="E35" s="43">
        <f>+'Wabush System'!E34+'Labrador City System'!E35</f>
        <v>119</v>
      </c>
      <c r="F35" s="43">
        <f>+'Wabush System'!F34+'Labrador City System'!F35</f>
        <v>123</v>
      </c>
      <c r="G35" s="43">
        <f>+'Wabush System'!G34+'Labrador City System'!G35</f>
        <v>121</v>
      </c>
      <c r="H35" s="43">
        <f>+'Wabush System'!H34+'Labrador City System'!H35</f>
        <v>123</v>
      </c>
      <c r="I35" s="43">
        <f>+'Wabush System'!I34+'Labrador City System'!I35</f>
        <v>123</v>
      </c>
      <c r="J35" s="43">
        <f>+'Wabush System'!J34+'Labrador City System'!J35</f>
        <v>127</v>
      </c>
      <c r="K35" s="43">
        <f>+'Wabush System'!K34+'Labrador City System'!K35</f>
        <v>128</v>
      </c>
      <c r="L35" s="43">
        <f>+'Wabush System'!L34+'Labrador City System'!L35</f>
        <v>130</v>
      </c>
      <c r="M35" s="43">
        <f>+'Wabush System'!M34+'Labrador City System'!M35</f>
        <v>132</v>
      </c>
      <c r="N35" s="43">
        <f>+'Wabush System'!N34+'Labrador City System'!N35</f>
        <v>132</v>
      </c>
      <c r="O35" s="43">
        <f>+'Wabush System'!O34+'Labrador City System'!O35</f>
        <v>134</v>
      </c>
      <c r="P35" s="43">
        <f>+'Wabush System'!P34+'Labrador City System'!P35</f>
        <v>130</v>
      </c>
      <c r="Q35" s="43">
        <f>+'Wabush System'!Q34+'Labrador City System'!Q35</f>
        <v>132</v>
      </c>
      <c r="R35" s="77">
        <f>+'Wabush System'!R34+'Labrador City System'!R35</f>
        <v>138</v>
      </c>
      <c r="S35" s="49">
        <f>+'Wabush System'!S34+'Labrador City System'!S35</f>
        <v>139</v>
      </c>
      <c r="T35" s="49">
        <f>+'Wabush System'!T34+'Labrador City System'!T35</f>
        <v>140</v>
      </c>
      <c r="U35" s="49">
        <f>+'Wabush System'!U34+'Labrador City System'!U35</f>
        <v>141</v>
      </c>
      <c r="V35" s="49">
        <f>+'Wabush System'!V34+'Labrador City System'!V35</f>
        <v>143</v>
      </c>
      <c r="W35" s="49">
        <f>+'Wabush System'!W34+'Labrador City System'!W35</f>
        <v>144</v>
      </c>
      <c r="X35" s="49">
        <f>+'Wabush System'!X34+'Labrador City System'!X35</f>
        <v>145</v>
      </c>
      <c r="Y35" s="103">
        <f>(ROUND(($Q35-$B35)/15*0.5,0))+X35</f>
        <v>146</v>
      </c>
      <c r="Z35" s="103">
        <f t="shared" ref="Z35:AM35" si="101">(ROUND(($Q35-$B35)/15*0.5,0))+Y35</f>
        <v>147</v>
      </c>
      <c r="AA35" s="103">
        <f t="shared" si="101"/>
        <v>148</v>
      </c>
      <c r="AB35" s="103">
        <f t="shared" si="101"/>
        <v>149</v>
      </c>
      <c r="AC35" s="103">
        <f t="shared" si="101"/>
        <v>150</v>
      </c>
      <c r="AD35" s="103">
        <f t="shared" si="101"/>
        <v>151</v>
      </c>
      <c r="AE35" s="103">
        <f t="shared" si="101"/>
        <v>152</v>
      </c>
      <c r="AF35" s="103">
        <f t="shared" si="101"/>
        <v>153</v>
      </c>
      <c r="AG35" s="103">
        <f t="shared" si="101"/>
        <v>154</v>
      </c>
      <c r="AH35" s="103">
        <f t="shared" si="101"/>
        <v>155</v>
      </c>
      <c r="AI35" s="103">
        <f t="shared" si="101"/>
        <v>156</v>
      </c>
      <c r="AJ35" s="103">
        <f t="shared" si="101"/>
        <v>157</v>
      </c>
      <c r="AK35" s="103">
        <f t="shared" si="101"/>
        <v>158</v>
      </c>
      <c r="AL35" s="103">
        <f t="shared" si="101"/>
        <v>159</v>
      </c>
      <c r="AM35" s="103">
        <f t="shared" si="101"/>
        <v>160</v>
      </c>
    </row>
    <row r="36" spans="1:39" s="71" customFormat="1" ht="15" customHeight="1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77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</row>
    <row r="37" spans="1:39" s="71" customFormat="1" ht="15" customHeight="1">
      <c r="A37" s="71" t="s">
        <v>1</v>
      </c>
      <c r="B37" s="90">
        <f t="shared" ref="B37" si="102">SUM(B4,B9,B19,B22,B25,B28,B34)</f>
        <v>182871</v>
      </c>
      <c r="C37" s="90">
        <f t="shared" ref="C37:R37" si="103">SUM(C4,C9,C19,C22,C25,C28,C34)</f>
        <v>261753</v>
      </c>
      <c r="D37" s="90">
        <f t="shared" si="103"/>
        <v>249811</v>
      </c>
      <c r="E37" s="90">
        <f>SUM(E4,E9,E19,E22,E25,E28,E34)</f>
        <v>253301</v>
      </c>
      <c r="F37" s="90">
        <f>SUM(F4,F9,F19,F22,F25,F28,F34)</f>
        <v>241026</v>
      </c>
      <c r="G37" s="90">
        <f t="shared" si="103"/>
        <v>233273.2</v>
      </c>
      <c r="H37" s="90">
        <f t="shared" ref="H37:K38" si="104">SUM(H4,H9,H19,H22,H25,H28,H34)</f>
        <v>252714.37999999998</v>
      </c>
      <c r="I37" s="90">
        <f t="shared" si="104"/>
        <v>253968</v>
      </c>
      <c r="J37" s="90">
        <f>SUM(J4,J9,J19,J22,J25,J28,J34)</f>
        <v>260838.54800000001</v>
      </c>
      <c r="K37" s="90">
        <f t="shared" si="104"/>
        <v>241126.48699999999</v>
      </c>
      <c r="L37" s="90">
        <f t="shared" ref="L37:M37" si="105">SUM(L4,L9,L19,L22,L25,L28,L34)</f>
        <v>268961.93</v>
      </c>
      <c r="M37" s="90">
        <f t="shared" si="105"/>
        <v>283573.97399999999</v>
      </c>
      <c r="N37" s="90">
        <f t="shared" ref="N37:O37" si="106">SUM(N4,N9,N19,N22,N25,N28,N34)</f>
        <v>287467</v>
      </c>
      <c r="O37" s="90">
        <f t="shared" si="106"/>
        <v>310281.88</v>
      </c>
      <c r="P37" s="90">
        <f t="shared" si="103"/>
        <v>299498.89500000002</v>
      </c>
      <c r="Q37" s="90">
        <f t="shared" si="103"/>
        <v>290332</v>
      </c>
      <c r="R37" s="149">
        <f t="shared" si="103"/>
        <v>317862.31200000003</v>
      </c>
      <c r="S37" s="48">
        <f t="shared" ref="S37:S38" si="107">SUM(S4,S9,S19,S22,S25,S28,S34)</f>
        <v>348727.04489391763</v>
      </c>
      <c r="T37" s="48">
        <f t="shared" ref="T37:V38" si="108">SUM(T4,T9,T19,T22,T25,T28,T34)</f>
        <v>352939.79149702389</v>
      </c>
      <c r="U37" s="48">
        <f t="shared" si="108"/>
        <v>364287.74545100785</v>
      </c>
      <c r="V37" s="48">
        <f t="shared" si="108"/>
        <v>365069.71047423471</v>
      </c>
      <c r="W37" s="48">
        <f t="shared" ref="W37:X37" si="109">SUM(W4,W9,W19,W22,W25,W28,W34)</f>
        <v>365844.07908353471</v>
      </c>
      <c r="X37" s="48">
        <f t="shared" si="109"/>
        <v>366618.55513234064</v>
      </c>
      <c r="Y37" s="64">
        <f t="shared" ref="Y37:AG37" si="110">SUM(Y14,Y19,Y22,Y25,Y28,Y34)</f>
        <v>367708.34507394984</v>
      </c>
      <c r="Z37" s="64">
        <f t="shared" si="110"/>
        <v>368862.98119129287</v>
      </c>
      <c r="AA37" s="64">
        <f t="shared" si="110"/>
        <v>370016.21419494465</v>
      </c>
      <c r="AB37" s="64">
        <f t="shared" si="110"/>
        <v>371168.05143933516</v>
      </c>
      <c r="AC37" s="64">
        <f t="shared" si="110"/>
        <v>372236.70692946465</v>
      </c>
      <c r="AD37" s="64">
        <f t="shared" si="110"/>
        <v>373222.79986404459</v>
      </c>
      <c r="AE37" s="64">
        <f t="shared" si="110"/>
        <v>374208.33222573681</v>
      </c>
      <c r="AF37" s="64">
        <f t="shared" si="110"/>
        <v>375193.30817546544</v>
      </c>
      <c r="AG37" s="64">
        <f t="shared" si="110"/>
        <v>376177.73184734693</v>
      </c>
      <c r="AH37" s="64">
        <f t="shared" ref="AH37:AI37" si="111">SUM(AH14,AH19,AH22,AH25,AH28,AH34)</f>
        <v>377161.60734892311</v>
      </c>
      <c r="AI37" s="64">
        <f t="shared" si="111"/>
        <v>378144.9387613922</v>
      </c>
      <c r="AJ37" s="64">
        <f t="shared" ref="AJ37:AK37" si="112">SUM(AJ14,AJ19,AJ22,AJ25,AJ28,AJ34)</f>
        <v>379127.73013983748</v>
      </c>
      <c r="AK37" s="64">
        <f t="shared" si="112"/>
        <v>380109.98551345314</v>
      </c>
      <c r="AL37" s="64">
        <f t="shared" ref="AL37:AM37" si="113">SUM(AL14,AL19,AL22,AL25,AL28,AL34)</f>
        <v>381091.70888576773</v>
      </c>
      <c r="AM37" s="64">
        <f t="shared" si="113"/>
        <v>382072.90423486521</v>
      </c>
    </row>
    <row r="38" spans="1:39" s="71" customFormat="1" ht="15" customHeight="1">
      <c r="A38" s="71" t="s">
        <v>0</v>
      </c>
      <c r="B38" s="90">
        <f t="shared" ref="B38" si="114">SUM(B5,B10,B20,B23,B26,B29,B35)</f>
        <v>4537</v>
      </c>
      <c r="C38" s="90">
        <f t="shared" ref="C38:R38" si="115">SUM(C5,C10,C20,C23,C26,C29,C35)</f>
        <v>4875</v>
      </c>
      <c r="D38" s="90">
        <f t="shared" si="115"/>
        <v>4877</v>
      </c>
      <c r="E38" s="90">
        <f>SUM(E5,E10,E20,E23,E26,E29,E35)</f>
        <v>4890</v>
      </c>
      <c r="F38" s="90">
        <f>SUM(F5,F10,F20,F23,F26,F29,F35)</f>
        <v>4908</v>
      </c>
      <c r="G38" s="90">
        <f t="shared" si="115"/>
        <v>4909</v>
      </c>
      <c r="H38" s="90">
        <f t="shared" si="104"/>
        <v>5013</v>
      </c>
      <c r="I38" s="90">
        <f t="shared" si="104"/>
        <v>5173</v>
      </c>
      <c r="J38" s="90">
        <f>SUM(J5,J10,J20,J23,J26,J29,J35)</f>
        <v>5243</v>
      </c>
      <c r="K38" s="90">
        <f t="shared" si="104"/>
        <v>5351</v>
      </c>
      <c r="L38" s="90">
        <f t="shared" ref="L38:M38" si="116">SUM(L5,L10,L20,L23,L26,L29,L35)</f>
        <v>5505</v>
      </c>
      <c r="M38" s="90">
        <f t="shared" si="116"/>
        <v>5740</v>
      </c>
      <c r="N38" s="90">
        <f t="shared" ref="N38:O38" si="117">SUM(N5,N10,N20,N23,N26,N29,N35)</f>
        <v>5935</v>
      </c>
      <c r="O38" s="90">
        <f t="shared" si="117"/>
        <v>5995</v>
      </c>
      <c r="P38" s="90">
        <f t="shared" si="115"/>
        <v>6015</v>
      </c>
      <c r="Q38" s="90">
        <f t="shared" si="115"/>
        <v>6042</v>
      </c>
      <c r="R38" s="149">
        <f t="shared" si="115"/>
        <v>6064</v>
      </c>
      <c r="S38" s="48">
        <f t="shared" si="107"/>
        <v>6085</v>
      </c>
      <c r="T38" s="48">
        <f t="shared" si="108"/>
        <v>6103</v>
      </c>
      <c r="U38" s="48">
        <f t="shared" si="108"/>
        <v>6122</v>
      </c>
      <c r="V38" s="48">
        <f t="shared" si="108"/>
        <v>6140</v>
      </c>
      <c r="W38" s="48">
        <f t="shared" ref="W38:X38" si="118">SUM(W5,W10,W20,W23,W26,W29,W35)</f>
        <v>6158</v>
      </c>
      <c r="X38" s="48">
        <f t="shared" si="118"/>
        <v>6175</v>
      </c>
      <c r="Y38" s="64">
        <f t="shared" ref="Y38:AG38" si="119">SUM(Y2,Y7,Y15,Y20,Y23,Y26,Y29,Y35)</f>
        <v>6196</v>
      </c>
      <c r="Z38" s="64">
        <f t="shared" si="119"/>
        <v>6219</v>
      </c>
      <c r="AA38" s="64">
        <f t="shared" si="119"/>
        <v>6240</v>
      </c>
      <c r="AB38" s="64">
        <f t="shared" si="119"/>
        <v>6263</v>
      </c>
      <c r="AC38" s="64">
        <f t="shared" si="119"/>
        <v>6279</v>
      </c>
      <c r="AD38" s="64">
        <f t="shared" si="119"/>
        <v>6296</v>
      </c>
      <c r="AE38" s="64">
        <f t="shared" si="119"/>
        <v>6313</v>
      </c>
      <c r="AF38" s="64">
        <f t="shared" si="119"/>
        <v>6329</v>
      </c>
      <c r="AG38" s="64">
        <f t="shared" si="119"/>
        <v>6346</v>
      </c>
      <c r="AH38" s="64">
        <f t="shared" ref="AH38:AI38" si="120">SUM(AH2,AH7,AH15,AH20,AH23,AH26,AH29,AH35)</f>
        <v>6363</v>
      </c>
      <c r="AI38" s="64">
        <f t="shared" si="120"/>
        <v>6380</v>
      </c>
      <c r="AJ38" s="64">
        <f t="shared" ref="AJ38:AK38" si="121">SUM(AJ2,AJ7,AJ15,AJ20,AJ23,AJ26,AJ29,AJ35)</f>
        <v>6397</v>
      </c>
      <c r="AK38" s="64">
        <f t="shared" si="121"/>
        <v>6414</v>
      </c>
      <c r="AL38" s="64">
        <f t="shared" ref="AL38:AM38" si="122">SUM(AL2,AL7,AL15,AL20,AL23,AL26,AL29,AL35)</f>
        <v>6430</v>
      </c>
      <c r="AM38" s="64">
        <f t="shared" si="122"/>
        <v>6448</v>
      </c>
    </row>
    <row r="39" spans="1:39" s="71" customFormat="1" ht="15" customHeight="1">
      <c r="B39" s="90"/>
      <c r="C39" s="90"/>
      <c r="D39" s="90"/>
      <c r="E39" s="90"/>
      <c r="F39" s="90"/>
      <c r="G39" s="90"/>
      <c r="H39" s="90">
        <f t="shared" ref="H39" si="123">+H38-G38</f>
        <v>104</v>
      </c>
      <c r="I39" s="90">
        <f t="shared" ref="I39" si="124">+I38-H38</f>
        <v>160</v>
      </c>
      <c r="J39" s="90">
        <f t="shared" ref="J39" si="125">+J38-I38</f>
        <v>70</v>
      </c>
      <c r="K39" s="90">
        <f t="shared" ref="K39" si="126">+K38-J38</f>
        <v>108</v>
      </c>
      <c r="L39" s="90">
        <f t="shared" ref="L39" si="127">+L38-K38</f>
        <v>154</v>
      </c>
      <c r="M39" s="90">
        <f t="shared" ref="M39" si="128">+M38-L38</f>
        <v>235</v>
      </c>
      <c r="N39" s="90"/>
      <c r="O39" s="90"/>
      <c r="P39" s="90"/>
      <c r="Q39" s="90"/>
      <c r="R39" s="1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</row>
    <row r="40" spans="1:39" s="71" customFormat="1" ht="15" customHeight="1">
      <c r="A40" s="71" t="s">
        <v>3</v>
      </c>
      <c r="B40" s="43">
        <f>+'Wabush System'!B40+'Labrador City System'!B41</f>
        <v>0</v>
      </c>
      <c r="C40" s="43">
        <f>+'Wabush System'!C40+'Labrador City System'!C41</f>
        <v>162</v>
      </c>
      <c r="D40" s="43">
        <f>+'Wabush System'!D40+'Labrador City System'!D41</f>
        <v>186</v>
      </c>
      <c r="E40" s="43">
        <f>+'Wabush System'!E40+'Labrador City System'!E41</f>
        <v>198</v>
      </c>
      <c r="F40" s="43">
        <f>+'Wabush System'!F40+'Labrador City System'!F41</f>
        <v>247</v>
      </c>
      <c r="G40" s="43">
        <f>+'Wabush System'!G40+'Labrador City System'!G41</f>
        <v>201</v>
      </c>
      <c r="H40" s="43">
        <f>+'Wabush System'!H40+'Labrador City System'!H41</f>
        <v>308.7</v>
      </c>
      <c r="I40" s="43">
        <f>+'Wabush System'!I40+'Labrador City System'!I41</f>
        <v>354</v>
      </c>
      <c r="J40" s="43">
        <f>+'Wabush System'!J40+'Labrador City System'!J41</f>
        <v>369</v>
      </c>
      <c r="K40" s="43">
        <f>+'Wabush System'!K40+'Labrador City System'!K41</f>
        <v>266</v>
      </c>
      <c r="L40" s="43">
        <f>+'Wabush System'!L40+'Labrador City System'!L41</f>
        <v>266</v>
      </c>
      <c r="M40" s="43">
        <f>+'Wabush System'!M40+'Labrador City System'!M41</f>
        <v>325.46100000000001</v>
      </c>
      <c r="N40" s="43">
        <f>+'Wabush System'!N40+'Labrador City System'!N41</f>
        <v>337</v>
      </c>
      <c r="O40" s="43">
        <f>+'Wabush System'!O40+'Labrador City System'!O41</f>
        <v>367.57600000000002</v>
      </c>
      <c r="P40" s="43">
        <f>+'Wabush System'!P40+'Labrador City System'!P41</f>
        <v>366.459</v>
      </c>
      <c r="Q40" s="43">
        <f>+'Wabush System'!Q40+'Labrador City System'!Q41</f>
        <v>304</v>
      </c>
      <c r="R40" s="77">
        <f>+'Wabush System'!R40+'Labrador City System'!R41</f>
        <v>300</v>
      </c>
      <c r="S40" s="49">
        <f>+'Wabush System'!S40+'Labrador City System'!S41</f>
        <v>320.5</v>
      </c>
      <c r="T40" s="49">
        <f>+'Wabush System'!T40+'Labrador City System'!T41</f>
        <v>320.5</v>
      </c>
      <c r="U40" s="49">
        <f>+'Wabush System'!U40+'Labrador City System'!U41</f>
        <v>320.5</v>
      </c>
      <c r="V40" s="49">
        <f>+'Wabush System'!V40+'Labrador City System'!V41</f>
        <v>320.5</v>
      </c>
      <c r="W40" s="49">
        <f>+'Wabush System'!W40+'Labrador City System'!W41</f>
        <v>320.5</v>
      </c>
      <c r="X40" s="49">
        <f>+'Wabush System'!X40+'Labrador City System'!X41</f>
        <v>320.5</v>
      </c>
      <c r="Y40" s="48">
        <f t="shared" ref="Y40:AM40" si="129">+X40</f>
        <v>320.5</v>
      </c>
      <c r="Z40" s="48">
        <f t="shared" si="129"/>
        <v>320.5</v>
      </c>
      <c r="AA40" s="48">
        <f t="shared" si="129"/>
        <v>320.5</v>
      </c>
      <c r="AB40" s="48">
        <f t="shared" si="129"/>
        <v>320.5</v>
      </c>
      <c r="AC40" s="48">
        <f t="shared" si="129"/>
        <v>320.5</v>
      </c>
      <c r="AD40" s="48">
        <f t="shared" si="129"/>
        <v>320.5</v>
      </c>
      <c r="AE40" s="48">
        <f t="shared" si="129"/>
        <v>320.5</v>
      </c>
      <c r="AF40" s="48">
        <f t="shared" si="129"/>
        <v>320.5</v>
      </c>
      <c r="AG40" s="48">
        <f t="shared" si="129"/>
        <v>320.5</v>
      </c>
      <c r="AH40" s="48">
        <f t="shared" si="129"/>
        <v>320.5</v>
      </c>
      <c r="AI40" s="48">
        <f t="shared" si="129"/>
        <v>320.5</v>
      </c>
      <c r="AJ40" s="48">
        <f t="shared" si="129"/>
        <v>320.5</v>
      </c>
      <c r="AK40" s="48">
        <f t="shared" si="129"/>
        <v>320.5</v>
      </c>
      <c r="AL40" s="48">
        <f t="shared" si="129"/>
        <v>320.5</v>
      </c>
      <c r="AM40" s="48">
        <f t="shared" si="129"/>
        <v>320.5</v>
      </c>
    </row>
    <row r="41" spans="1:39" s="71" customFormat="1" ht="15" customHeight="1">
      <c r="A41" s="71" t="s">
        <v>0</v>
      </c>
      <c r="B41" s="43">
        <f>+'Wabush System'!B41+'Labrador City System'!B42</f>
        <v>0</v>
      </c>
      <c r="C41" s="43">
        <f>+'Wabush System'!C41+'Labrador City System'!C42</f>
        <v>3</v>
      </c>
      <c r="D41" s="43">
        <f>+'Wabush System'!D41+'Labrador City System'!D42</f>
        <v>3</v>
      </c>
      <c r="E41" s="43">
        <f>+'Wabush System'!E41+'Labrador City System'!E42</f>
        <v>3</v>
      </c>
      <c r="F41" s="43">
        <f>+'Wabush System'!F41+'Labrador City System'!F42</f>
        <v>3</v>
      </c>
      <c r="G41" s="43">
        <f>+'Wabush System'!G41+'Labrador City System'!G42</f>
        <v>4</v>
      </c>
      <c r="H41" s="43">
        <f>+'Wabush System'!H41+'Labrador City System'!H42</f>
        <v>5</v>
      </c>
      <c r="I41" s="43">
        <f>+'Wabush System'!I41+'Labrador City System'!I42</f>
        <v>6</v>
      </c>
      <c r="J41" s="43">
        <f>+'Wabush System'!J41+'Labrador City System'!J42</f>
        <v>6</v>
      </c>
      <c r="K41" s="43">
        <f>+'Wabush System'!K41+'Labrador City System'!K42</f>
        <v>6</v>
      </c>
      <c r="L41" s="43">
        <f>+'Wabush System'!L41+'Labrador City System'!L42</f>
        <v>6</v>
      </c>
      <c r="M41" s="43">
        <f>+'Wabush System'!M41+'Labrador City System'!M42</f>
        <v>6</v>
      </c>
      <c r="N41" s="43">
        <f>+'Wabush System'!N41+'Labrador City System'!N42</f>
        <v>6</v>
      </c>
      <c r="O41" s="43">
        <f>+'Wabush System'!O41+'Labrador City System'!O42</f>
        <v>6</v>
      </c>
      <c r="P41" s="43">
        <f>+'Wabush System'!P41+'Labrador City System'!P42</f>
        <v>6</v>
      </c>
      <c r="Q41" s="43">
        <f>+'Wabush System'!Q41+'Labrador City System'!Q42</f>
        <v>6</v>
      </c>
      <c r="R41" s="77">
        <f>+'Wabush System'!R41+'Labrador City System'!R42</f>
        <v>6</v>
      </c>
      <c r="S41" s="49">
        <f>+'Wabush System'!S41+'Labrador City System'!S42</f>
        <v>6</v>
      </c>
      <c r="T41" s="49">
        <f>+'Wabush System'!T41+'Labrador City System'!T42</f>
        <v>6</v>
      </c>
      <c r="U41" s="49">
        <f>+'Wabush System'!U41+'Labrador City System'!U42</f>
        <v>6</v>
      </c>
      <c r="V41" s="49">
        <f>+'Wabush System'!V41+'Labrador City System'!V42</f>
        <v>6</v>
      </c>
      <c r="W41" s="49">
        <f>+'Wabush System'!W41+'Labrador City System'!W42</f>
        <v>6</v>
      </c>
      <c r="X41" s="49">
        <f>+'Wabush System'!X41+'Labrador City System'!X42</f>
        <v>6</v>
      </c>
      <c r="Y41" s="48">
        <f t="shared" ref="Y41:AM41" si="130">+X41</f>
        <v>6</v>
      </c>
      <c r="Z41" s="48">
        <f t="shared" si="130"/>
        <v>6</v>
      </c>
      <c r="AA41" s="48">
        <f t="shared" si="130"/>
        <v>6</v>
      </c>
      <c r="AB41" s="48">
        <f t="shared" si="130"/>
        <v>6</v>
      </c>
      <c r="AC41" s="48">
        <f t="shared" si="130"/>
        <v>6</v>
      </c>
      <c r="AD41" s="48">
        <f t="shared" si="130"/>
        <v>6</v>
      </c>
      <c r="AE41" s="48">
        <f t="shared" si="130"/>
        <v>6</v>
      </c>
      <c r="AF41" s="48">
        <f t="shared" si="130"/>
        <v>6</v>
      </c>
      <c r="AG41" s="48">
        <f t="shared" si="130"/>
        <v>6</v>
      </c>
      <c r="AH41" s="48">
        <f t="shared" si="130"/>
        <v>6</v>
      </c>
      <c r="AI41" s="48">
        <f t="shared" si="130"/>
        <v>6</v>
      </c>
      <c r="AJ41" s="48">
        <f t="shared" si="130"/>
        <v>6</v>
      </c>
      <c r="AK41" s="48">
        <f t="shared" si="130"/>
        <v>6</v>
      </c>
      <c r="AL41" s="48">
        <f t="shared" si="130"/>
        <v>6</v>
      </c>
      <c r="AM41" s="48">
        <f t="shared" si="130"/>
        <v>6</v>
      </c>
    </row>
    <row r="42" spans="1:39" s="71" customFormat="1" ht="15" customHeight="1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77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</row>
    <row r="43" spans="1:39" s="71" customFormat="1" ht="15" customHeight="1">
      <c r="A43" s="71" t="s">
        <v>4</v>
      </c>
      <c r="B43" s="90">
        <f t="shared" ref="B43" si="131">B46-(B37+B40)</f>
        <v>66301</v>
      </c>
      <c r="C43" s="90">
        <f t="shared" ref="C43:G43" si="132">C46-(C37+C40)</f>
        <v>10177</v>
      </c>
      <c r="D43" s="90">
        <f t="shared" si="132"/>
        <v>9625</v>
      </c>
      <c r="E43" s="90">
        <f t="shared" si="132"/>
        <v>9247</v>
      </c>
      <c r="F43" s="90">
        <f t="shared" si="132"/>
        <v>13130</v>
      </c>
      <c r="G43" s="90">
        <f t="shared" si="132"/>
        <v>12476.799999999988</v>
      </c>
      <c r="H43" s="90">
        <f>H46-(H37+H40)</f>
        <v>12311.056000000011</v>
      </c>
      <c r="I43" s="90">
        <f>I46-(I37+I40)</f>
        <v>12971</v>
      </c>
      <c r="J43" s="90">
        <f>J46-(J37+J40)</f>
        <v>10066.45199999999</v>
      </c>
      <c r="K43" s="90">
        <f>K46-(K37+K40)</f>
        <v>11341.396000000008</v>
      </c>
      <c r="L43" s="90">
        <f t="shared" ref="L43:N43" si="133">L46-(L37+L40)</f>
        <v>16264.484999999986</v>
      </c>
      <c r="M43" s="90">
        <f t="shared" si="133"/>
        <v>9768.3319999999949</v>
      </c>
      <c r="N43" s="90">
        <f t="shared" si="133"/>
        <v>17714.081000000006</v>
      </c>
      <c r="O43" s="90">
        <f t="shared" ref="O43" si="134">O46-(O37+O40)</f>
        <v>10829.821999999986</v>
      </c>
      <c r="P43" s="90">
        <f>+'Wabush System'!P43+'Labrador City System'!P44</f>
        <v>20084.111999999994</v>
      </c>
      <c r="Q43" s="90">
        <f>+'Wabush System'!Q43+'Labrador City System'!Q44</f>
        <v>17620</v>
      </c>
      <c r="R43" s="149">
        <f>+'Wabush System'!R43+'Labrador City System'!R44</f>
        <v>28529.42399999997</v>
      </c>
      <c r="S43" s="49">
        <f>+'Wabush System'!S43+'Labrador City System'!S44</f>
        <v>18290.476171661841</v>
      </c>
      <c r="T43" s="49">
        <f>+'Wabush System'!T43+'Labrador City System'!T44</f>
        <v>18516.986572460039</v>
      </c>
      <c r="U43" s="49">
        <f>+'Wabush System'!U43+'Labrador City System'!U44</f>
        <v>19127.765981866887</v>
      </c>
      <c r="V43" s="49">
        <f>+'Wabush System'!V43+'Labrador City System'!V44</f>
        <v>19168.357879451232</v>
      </c>
      <c r="W43" s="49">
        <f>+'Wabush System'!W43+'Labrador City System'!W44</f>
        <v>19208.586939608118</v>
      </c>
      <c r="X43" s="49">
        <f>+'Wabush System'!X43+'Labrador City System'!X44</f>
        <v>19248.821785943801</v>
      </c>
      <c r="Y43" s="48">
        <f t="shared" ref="Y43:AG43" si="135">Y44*(Y37+Y40)</f>
        <v>19305.989787214705</v>
      </c>
      <c r="Z43" s="48">
        <f t="shared" si="135"/>
        <v>19366.559477302162</v>
      </c>
      <c r="AA43" s="48">
        <f t="shared" si="135"/>
        <v>19427.055563108443</v>
      </c>
      <c r="AB43" s="48">
        <f t="shared" si="135"/>
        <v>19487.478430430889</v>
      </c>
      <c r="AC43" s="48">
        <f t="shared" si="135"/>
        <v>19543.537764514731</v>
      </c>
      <c r="AD43" s="48">
        <f t="shared" si="135"/>
        <v>19595.266047172627</v>
      </c>
      <c r="AE43" s="48">
        <f t="shared" si="135"/>
        <v>19646.964923400596</v>
      </c>
      <c r="AF43" s="48">
        <f t="shared" si="135"/>
        <v>19698.634611471625</v>
      </c>
      <c r="AG43" s="48">
        <f t="shared" si="135"/>
        <v>19750.275328252446</v>
      </c>
      <c r="AH43" s="48">
        <f t="shared" ref="AH43:AI43" si="136">AH44*(AH37+AH40)</f>
        <v>19801.887289215734</v>
      </c>
      <c r="AI43" s="48">
        <f t="shared" si="136"/>
        <v>19853.470708452238</v>
      </c>
      <c r="AJ43" s="48">
        <f t="shared" ref="AJ43:AK43" si="137">AJ44*(AJ37+AJ40)</f>
        <v>19905.025798682775</v>
      </c>
      <c r="AK43" s="48">
        <f t="shared" si="137"/>
        <v>19956.552771270071</v>
      </c>
      <c r="AL43" s="48">
        <f t="shared" ref="AL43:AM43" si="138">AL44*(AL37+AL40)</f>
        <v>20008.051836230501</v>
      </c>
      <c r="AM43" s="48">
        <f t="shared" si="138"/>
        <v>20059.523202245666</v>
      </c>
    </row>
    <row r="44" spans="1:39" s="71" customFormat="1" ht="15" customHeight="1">
      <c r="A44" s="71" t="s">
        <v>5</v>
      </c>
      <c r="B44" s="211">
        <f t="shared" ref="B44" si="139">B43/(B37+B40)</f>
        <v>0.36255611879412264</v>
      </c>
      <c r="C44" s="211">
        <f t="shared" ref="C44:H44" si="140">C43/(C37+C40)</f>
        <v>3.8856117442681783E-2</v>
      </c>
      <c r="D44" s="211">
        <f t="shared" si="140"/>
        <v>3.8500462005544064E-2</v>
      </c>
      <c r="E44" s="211">
        <f t="shared" si="140"/>
        <v>3.6477461449552072E-2</v>
      </c>
      <c r="F44" s="211">
        <f t="shared" si="140"/>
        <v>5.441968226863346E-2</v>
      </c>
      <c r="G44" s="211">
        <f t="shared" si="140"/>
        <v>5.343973766694559E-2</v>
      </c>
      <c r="H44" s="211">
        <f t="shared" si="140"/>
        <v>4.865586174984516E-2</v>
      </c>
      <c r="I44" s="211">
        <f>I43/(I37+I40)</f>
        <v>5.1002272709399894E-2</v>
      </c>
      <c r="J44" s="211">
        <f>J43/(J37+J40)</f>
        <v>3.8538135965351161E-2</v>
      </c>
      <c r="K44" s="211">
        <f>K43/(K37+K40)</f>
        <v>4.6983218661647945E-2</v>
      </c>
      <c r="L44" s="211">
        <f t="shared" ref="L44:M44" si="141">L43/(L37+L40)</f>
        <v>6.0411581368990899E-2</v>
      </c>
      <c r="M44" s="211">
        <f t="shared" si="141"/>
        <v>3.4407719057278137E-2</v>
      </c>
      <c r="N44" s="211">
        <f t="shared" ref="N44:O44" si="142">N43/(N37+N40)</f>
        <v>6.1549113285430383E-2</v>
      </c>
      <c r="O44" s="211">
        <f t="shared" si="142"/>
        <v>3.4861873377946571E-2</v>
      </c>
      <c r="P44" s="211">
        <f t="shared" ref="P44:T44" si="143">P43/(P37+P40)</f>
        <v>6.6977100662319239E-2</v>
      </c>
      <c r="Q44" s="211">
        <f t="shared" si="143"/>
        <v>6.0625662340522163E-2</v>
      </c>
      <c r="R44" s="242">
        <f t="shared" si="143"/>
        <v>8.9669401195450096E-2</v>
      </c>
      <c r="S44" s="243">
        <f t="shared" si="143"/>
        <v>5.2401102483676472E-2</v>
      </c>
      <c r="T44" s="243">
        <f t="shared" si="143"/>
        <v>5.2417401610551632E-2</v>
      </c>
      <c r="U44" s="243">
        <f t="shared" ref="U44:V44" si="144">U43/(U37+U40)</f>
        <v>5.2461144860304787E-2</v>
      </c>
      <c r="V44" s="243">
        <f t="shared" si="144"/>
        <v>5.2459965620241703E-2</v>
      </c>
      <c r="W44" s="243">
        <f t="shared" ref="W44:X44" si="145">W43/(W37+W40)</f>
        <v>5.245888880810063E-2</v>
      </c>
      <c r="X44" s="243">
        <f t="shared" si="145"/>
        <v>5.2457816950015036E-2</v>
      </c>
      <c r="Y44" s="244">
        <f t="shared" ref="Y44:AM44" si="146">X44</f>
        <v>5.2457816950015036E-2</v>
      </c>
      <c r="Z44" s="244">
        <f t="shared" si="146"/>
        <v>5.2457816950015036E-2</v>
      </c>
      <c r="AA44" s="244">
        <f t="shared" si="146"/>
        <v>5.2457816950015036E-2</v>
      </c>
      <c r="AB44" s="244">
        <f t="shared" si="146"/>
        <v>5.2457816950015036E-2</v>
      </c>
      <c r="AC44" s="244">
        <f t="shared" si="146"/>
        <v>5.2457816950015036E-2</v>
      </c>
      <c r="AD44" s="244">
        <f t="shared" si="146"/>
        <v>5.2457816950015036E-2</v>
      </c>
      <c r="AE44" s="244">
        <f t="shared" si="146"/>
        <v>5.2457816950015036E-2</v>
      </c>
      <c r="AF44" s="244">
        <f t="shared" si="146"/>
        <v>5.2457816950015036E-2</v>
      </c>
      <c r="AG44" s="244">
        <f t="shared" si="146"/>
        <v>5.2457816950015036E-2</v>
      </c>
      <c r="AH44" s="244">
        <f t="shared" si="146"/>
        <v>5.2457816950015036E-2</v>
      </c>
      <c r="AI44" s="244">
        <f t="shared" si="146"/>
        <v>5.2457816950015036E-2</v>
      </c>
      <c r="AJ44" s="244">
        <f t="shared" si="146"/>
        <v>5.2457816950015036E-2</v>
      </c>
      <c r="AK44" s="244">
        <f t="shared" si="146"/>
        <v>5.2457816950015036E-2</v>
      </c>
      <c r="AL44" s="244">
        <f t="shared" si="146"/>
        <v>5.2457816950015036E-2</v>
      </c>
      <c r="AM44" s="244">
        <f t="shared" si="146"/>
        <v>5.2457816950015036E-2</v>
      </c>
    </row>
    <row r="45" spans="1:39" s="91" customFormat="1" ht="15" customHeight="1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42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</row>
    <row r="46" spans="1:39" s="71" customFormat="1" ht="15" customHeight="1">
      <c r="A46" s="71" t="s">
        <v>31</v>
      </c>
      <c r="B46" s="43">
        <f>+'Wabush System'!B46+'Labrador City System'!B47</f>
        <v>249172</v>
      </c>
      <c r="C46" s="43">
        <f>+'Wabush System'!C46+'Labrador City System'!C47</f>
        <v>272092</v>
      </c>
      <c r="D46" s="43">
        <f>+'Wabush System'!D46+'Labrador City System'!D47</f>
        <v>259622</v>
      </c>
      <c r="E46" s="43">
        <f>+'Wabush System'!E46+'Labrador City System'!E47</f>
        <v>262746</v>
      </c>
      <c r="F46" s="43">
        <f>+'Wabush System'!F46+'Labrador City System'!F47</f>
        <v>254403</v>
      </c>
      <c r="G46" s="43">
        <f>+'Wabush System'!G46+'Labrador City System'!G47</f>
        <v>245951</v>
      </c>
      <c r="H46" s="43">
        <f>+'Wabush System'!H46+'Labrador City System'!H47</f>
        <v>265334.136</v>
      </c>
      <c r="I46" s="43">
        <f>+'Wabush System'!I46+'Labrador City System'!I47</f>
        <v>267293</v>
      </c>
      <c r="J46" s="43">
        <f>+'Wabush System'!J46+'Labrador City System'!J47</f>
        <v>271274</v>
      </c>
      <c r="K46" s="43">
        <f>+'Wabush System'!K46+'Labrador City System'!K47</f>
        <v>252733.883</v>
      </c>
      <c r="L46" s="43">
        <f>+'Wabush System'!L46+'Labrador City System'!L47</f>
        <v>285492.41499999998</v>
      </c>
      <c r="M46" s="43">
        <f>+'Wabush System'!M46+'Labrador City System'!M47</f>
        <v>293667.76699999999</v>
      </c>
      <c r="N46" s="43">
        <f>+'Wabush System'!N46+'Labrador City System'!N47</f>
        <v>305518.08100000001</v>
      </c>
      <c r="O46" s="43">
        <f>+'Wabush System'!O46+'Labrador City System'!O47</f>
        <v>321479.27799999999</v>
      </c>
      <c r="P46" s="43">
        <f>+'Wabush System'!P46+'Labrador City System'!P47</f>
        <v>319949.46600000001</v>
      </c>
      <c r="Q46" s="43">
        <f>+'Wabush System'!Q46+'Labrador City System'!Q47</f>
        <v>308256</v>
      </c>
      <c r="R46" s="77">
        <f>+'Wabush System'!R46+'Labrador City System'!R47</f>
        <v>346691.73599999998</v>
      </c>
      <c r="S46" s="49">
        <f>+'Wabush System'!S46+'Labrador City System'!S47</f>
        <v>367338.02106557949</v>
      </c>
      <c r="T46" s="49">
        <f>+'Wabush System'!T46+'Labrador City System'!T47</f>
        <v>371777.27806948387</v>
      </c>
      <c r="U46" s="49">
        <f>+'Wabush System'!U46+'Labrador City System'!U47</f>
        <v>383736.0114328746</v>
      </c>
      <c r="V46" s="49">
        <f>+'Wabush System'!V46+'Labrador City System'!V47</f>
        <v>384558.56835368596</v>
      </c>
      <c r="W46" s="49">
        <f>+'Wabush System'!W46+'Labrador City System'!W47</f>
        <v>385373.16602314281</v>
      </c>
      <c r="X46" s="49">
        <f>+'Wabush System'!X46+'Labrador City System'!X47</f>
        <v>386187.87691828446</v>
      </c>
      <c r="Y46" s="48">
        <f t="shared" ref="Y46:AG46" si="147">Y37+Y40+Y43</f>
        <v>387334.83486116456</v>
      </c>
      <c r="Z46" s="48">
        <f t="shared" si="147"/>
        <v>388550.04066859506</v>
      </c>
      <c r="AA46" s="48">
        <f t="shared" si="147"/>
        <v>389763.76975805312</v>
      </c>
      <c r="AB46" s="48">
        <f t="shared" si="147"/>
        <v>390976.02986976603</v>
      </c>
      <c r="AC46" s="48">
        <f t="shared" si="147"/>
        <v>392100.74469397939</v>
      </c>
      <c r="AD46" s="48">
        <f t="shared" si="147"/>
        <v>393138.56591121724</v>
      </c>
      <c r="AE46" s="48">
        <f t="shared" si="147"/>
        <v>394175.79714913742</v>
      </c>
      <c r="AF46" s="48">
        <f t="shared" si="147"/>
        <v>395212.44278693706</v>
      </c>
      <c r="AG46" s="48">
        <f t="shared" si="147"/>
        <v>396248.5071755994</v>
      </c>
      <c r="AH46" s="48">
        <f t="shared" ref="AH46:AI46" si="148">AH37+AH40+AH43</f>
        <v>397283.99463813886</v>
      </c>
      <c r="AI46" s="48">
        <f t="shared" si="148"/>
        <v>398318.90946984442</v>
      </c>
      <c r="AJ46" s="48">
        <f t="shared" ref="AJ46:AK46" si="149">AJ37+AJ40+AJ43</f>
        <v>399353.25593852025</v>
      </c>
      <c r="AK46" s="48">
        <f t="shared" si="149"/>
        <v>400387.03828472318</v>
      </c>
      <c r="AL46" s="48">
        <f t="shared" ref="AL46:AM46" si="150">AL37+AL40+AL43</f>
        <v>401420.26072199823</v>
      </c>
      <c r="AM46" s="48">
        <f t="shared" si="150"/>
        <v>402452.92743711086</v>
      </c>
    </row>
    <row r="47" spans="1:39" s="71" customFormat="1" ht="21" customHeight="1">
      <c r="A47" s="71" t="s">
        <v>49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148" t="s">
        <v>51</v>
      </c>
      <c r="S47" s="168">
        <f>0.9281*('Wabush System'!S48+'Labrador City System'!S49)</f>
        <v>76566.411176580557</v>
      </c>
      <c r="T47" s="168">
        <f>0.9281*('Wabush System'!T48+'Labrador City System'!T49)</f>
        <v>76723.906576896625</v>
      </c>
      <c r="U47" s="168">
        <f>0.9281*('Wabush System'!U48+'Labrador City System'!U49)</f>
        <v>77361.402003663767</v>
      </c>
      <c r="V47" s="168">
        <f>0.9281*('Wabush System'!V48+'Labrador City System'!V49)</f>
        <v>77594.359673829531</v>
      </c>
      <c r="W47" s="168">
        <f>0.9281*('Wabush System'!W48+'Labrador City System'!W49)</f>
        <v>77825.932804782438</v>
      </c>
      <c r="X47" s="168">
        <f>0.9281*('Wabush System'!X48+'Labrador City System'!X49)</f>
        <v>78057.995341889953</v>
      </c>
      <c r="Y47" s="64">
        <f t="shared" ref="Y47:AM47" si="151">Y46/8.76/Y48</f>
        <v>78359.195314684155</v>
      </c>
      <c r="Z47" s="64">
        <f t="shared" si="151"/>
        <v>78674.748568264709</v>
      </c>
      <c r="AA47" s="64">
        <f t="shared" si="151"/>
        <v>78990.562755803112</v>
      </c>
      <c r="AB47" s="64">
        <f t="shared" si="151"/>
        <v>79306.640142829259</v>
      </c>
      <c r="AC47" s="64">
        <f t="shared" si="151"/>
        <v>79605.505952846797</v>
      </c>
      <c r="AD47" s="64">
        <f t="shared" si="151"/>
        <v>79887.246653214228</v>
      </c>
      <c r="AE47" s="64">
        <f t="shared" si="151"/>
        <v>80169.369324331274</v>
      </c>
      <c r="AF47" s="64">
        <f t="shared" si="151"/>
        <v>80451.875879372237</v>
      </c>
      <c r="AG47" s="64">
        <f t="shared" si="151"/>
        <v>80734.768232592265</v>
      </c>
      <c r="AH47" s="64">
        <f t="shared" si="151"/>
        <v>81018.048299382179</v>
      </c>
      <c r="AI47" s="64">
        <f t="shared" si="151"/>
        <v>81301.717996323234</v>
      </c>
      <c r="AJ47" s="64">
        <f t="shared" si="151"/>
        <v>81585.779241241587</v>
      </c>
      <c r="AK47" s="64">
        <f t="shared" si="151"/>
        <v>81870.233953262432</v>
      </c>
      <c r="AL47" s="64">
        <f t="shared" si="151"/>
        <v>82155.084052864055</v>
      </c>
      <c r="AM47" s="64">
        <f t="shared" si="151"/>
        <v>82440.331461931433</v>
      </c>
    </row>
    <row r="48" spans="1:39" s="71" customFormat="1" ht="20.25" customHeight="1">
      <c r="A48" s="71" t="s">
        <v>32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42"/>
      <c r="S48" s="70">
        <f t="shared" ref="S48:X48" si="152">S46/(S47*8.76)</f>
        <v>0.54767571581581975</v>
      </c>
      <c r="T48" s="70">
        <f t="shared" si="152"/>
        <v>0.5531565119694325</v>
      </c>
      <c r="U48" s="70">
        <f t="shared" si="152"/>
        <v>0.56624465977365401</v>
      </c>
      <c r="V48" s="70">
        <f t="shared" si="152"/>
        <v>0.56575478080602004</v>
      </c>
      <c r="W48" s="70">
        <f t="shared" si="152"/>
        <v>0.5652662160945372</v>
      </c>
      <c r="X48" s="70">
        <f t="shared" si="152"/>
        <v>0.56477717477034983</v>
      </c>
      <c r="Y48" s="102">
        <f t="shared" ref="Y48:AM48" si="153">MAX(X48-0.0005,0.46)</f>
        <v>0.56427717477034989</v>
      </c>
      <c r="Z48" s="102">
        <f t="shared" si="153"/>
        <v>0.56377717477034994</v>
      </c>
      <c r="AA48" s="102">
        <f t="shared" si="153"/>
        <v>0.56327717477035</v>
      </c>
      <c r="AB48" s="102">
        <f t="shared" si="153"/>
        <v>0.56277717477035005</v>
      </c>
      <c r="AC48" s="102">
        <f t="shared" si="153"/>
        <v>0.56227717477035011</v>
      </c>
      <c r="AD48" s="102">
        <f t="shared" si="153"/>
        <v>0.56177717477035016</v>
      </c>
      <c r="AE48" s="102">
        <f t="shared" si="153"/>
        <v>0.56127717477035022</v>
      </c>
      <c r="AF48" s="102">
        <f t="shared" si="153"/>
        <v>0.56077717477035027</v>
      </c>
      <c r="AG48" s="102">
        <f t="shared" si="153"/>
        <v>0.56027717477035033</v>
      </c>
      <c r="AH48" s="102">
        <f t="shared" si="153"/>
        <v>0.55977717477035038</v>
      </c>
      <c r="AI48" s="102">
        <f t="shared" si="153"/>
        <v>0.55927717477035044</v>
      </c>
      <c r="AJ48" s="102">
        <f t="shared" si="153"/>
        <v>0.55877717477035049</v>
      </c>
      <c r="AK48" s="102">
        <f t="shared" si="153"/>
        <v>0.55827717477035055</v>
      </c>
      <c r="AL48" s="102">
        <f t="shared" si="153"/>
        <v>0.5577771747703506</v>
      </c>
      <c r="AM48" s="102">
        <f t="shared" si="153"/>
        <v>0.55727717477035066</v>
      </c>
    </row>
    <row r="49" spans="1:39" s="71" customFormat="1" ht="21" customHeight="1">
      <c r="A49" s="71" t="s">
        <v>48</v>
      </c>
      <c r="B49" s="43"/>
      <c r="C49" s="43"/>
      <c r="D49" s="43"/>
      <c r="E49" s="43"/>
      <c r="F49" s="43"/>
      <c r="G49" s="205"/>
      <c r="H49" s="205"/>
      <c r="I49" s="205"/>
      <c r="J49" s="205"/>
      <c r="K49" s="205"/>
      <c r="L49" s="205"/>
      <c r="M49" s="49"/>
      <c r="N49" s="99"/>
      <c r="O49" s="70"/>
      <c r="P49" s="70"/>
      <c r="Q49" s="70"/>
      <c r="R49" s="148" t="s">
        <v>50</v>
      </c>
      <c r="S49" s="168">
        <f>0.91*('Wabush System'!S48+'Labrador City System'!S49)</f>
        <v>75073.197037698861</v>
      </c>
      <c r="T49" s="168">
        <f>0.91*('Wabush System'!T48+'Labrador City System'!T49)</f>
        <v>75227.620929830751</v>
      </c>
      <c r="U49" s="168">
        <f>0.91*('Wabush System'!U48+'Labrador City System'!U49)</f>
        <v>75852.683787667309</v>
      </c>
      <c r="V49" s="168">
        <f>0.91*('Wabush System'!V48+'Labrador City System'!V49)</f>
        <v>76081.098268704736</v>
      </c>
      <c r="W49" s="168">
        <f>0.91*('Wabush System'!W48+'Labrador City System'!W49)</f>
        <v>76308.155212102167</v>
      </c>
      <c r="X49" s="168">
        <f>0.91*('Wabush System'!X48+'Labrador City System'!X49)</f>
        <v>76535.692017153167</v>
      </c>
      <c r="Y49" s="64">
        <f t="shared" ref="Y49:AM49" si="154">Y46/8.76/Y50</f>
        <v>76829.690254377652</v>
      </c>
      <c r="Z49" s="64">
        <f t="shared" si="154"/>
        <v>77137.748840374436</v>
      </c>
      <c r="AA49" s="64">
        <f t="shared" si="154"/>
        <v>77446.050212947623</v>
      </c>
      <c r="AB49" s="64">
        <f t="shared" si="154"/>
        <v>77754.596545867738</v>
      </c>
      <c r="AC49" s="64">
        <f t="shared" si="154"/>
        <v>78046.255297247539</v>
      </c>
      <c r="AD49" s="64">
        <f t="shared" si="154"/>
        <v>78321.112087452289</v>
      </c>
      <c r="AE49" s="64">
        <f t="shared" si="154"/>
        <v>78596.331329519337</v>
      </c>
      <c r="AF49" s="64">
        <f t="shared" si="154"/>
        <v>78871.914847865992</v>
      </c>
      <c r="AG49" s="64">
        <f t="shared" si="154"/>
        <v>79147.864467658583</v>
      </c>
      <c r="AH49" s="64">
        <f t="shared" si="154"/>
        <v>79424.182014864709</v>
      </c>
      <c r="AI49" s="64">
        <f t="shared" si="154"/>
        <v>79700.869316305514</v>
      </c>
      <c r="AJ49" s="64">
        <f t="shared" si="154"/>
        <v>79977.928199707545</v>
      </c>
      <c r="AK49" s="64">
        <f t="shared" si="154"/>
        <v>80255.360493754342</v>
      </c>
      <c r="AL49" s="64">
        <f t="shared" si="154"/>
        <v>80533.168028137952</v>
      </c>
      <c r="AM49" s="64">
        <f t="shared" si="154"/>
        <v>80811.352633609931</v>
      </c>
    </row>
    <row r="50" spans="1:39" s="71" customFormat="1" ht="20.25" customHeight="1">
      <c r="A50" s="71" t="s">
        <v>32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9"/>
      <c r="N50" s="43"/>
      <c r="O50" s="49"/>
      <c r="P50" s="49"/>
      <c r="Q50" s="49"/>
      <c r="R50" s="148"/>
      <c r="S50" s="70">
        <f t="shared" ref="S50:X50" si="155">S46/(S49*8.76)</f>
        <v>0.55856904598754087</v>
      </c>
      <c r="T50" s="70">
        <f t="shared" si="155"/>
        <v>0.56415885577893443</v>
      </c>
      <c r="U50" s="70">
        <f t="shared" si="155"/>
        <v>0.57750732828123985</v>
      </c>
      <c r="V50" s="70">
        <f t="shared" si="155"/>
        <v>0.5770077055671069</v>
      </c>
      <c r="W50" s="70">
        <f t="shared" si="155"/>
        <v>0.57650942324982413</v>
      </c>
      <c r="X50" s="70">
        <f t="shared" si="155"/>
        <v>0.57601065483995784</v>
      </c>
      <c r="Y50" s="102">
        <f t="shared" ref="Y50" si="156">MAX(X50-0.0005,0.46)</f>
        <v>0.57551065483995789</v>
      </c>
      <c r="Z50" s="102">
        <f t="shared" ref="Z50" si="157">MAX(Y50-0.0005,0.46)</f>
        <v>0.57501065483995795</v>
      </c>
      <c r="AA50" s="102">
        <f t="shared" ref="AA50" si="158">MAX(Z50-0.0005,0.46)</f>
        <v>0.574510654839958</v>
      </c>
      <c r="AB50" s="102">
        <f t="shared" ref="AB50" si="159">MAX(AA50-0.0005,0.46)</f>
        <v>0.57401065483995806</v>
      </c>
      <c r="AC50" s="102">
        <f t="shared" ref="AC50" si="160">MAX(AB50-0.0005,0.46)</f>
        <v>0.57351065483995811</v>
      </c>
      <c r="AD50" s="102">
        <f t="shared" ref="AD50" si="161">MAX(AC50-0.0005,0.46)</f>
        <v>0.57301065483995817</v>
      </c>
      <c r="AE50" s="102">
        <f t="shared" ref="AE50" si="162">MAX(AD50-0.0005,0.46)</f>
        <v>0.57251065483995822</v>
      </c>
      <c r="AF50" s="102">
        <f t="shared" ref="AF50" si="163">MAX(AE50-0.0005,0.46)</f>
        <v>0.57201065483995828</v>
      </c>
      <c r="AG50" s="102">
        <f t="shared" ref="AG50" si="164">MAX(AF50-0.0005,0.46)</f>
        <v>0.57151065483995833</v>
      </c>
      <c r="AH50" s="102">
        <f t="shared" ref="AH50" si="165">MAX(AG50-0.0005,0.46)</f>
        <v>0.57101065483995839</v>
      </c>
      <c r="AI50" s="102">
        <f t="shared" ref="AI50" si="166">MAX(AH50-0.0005,0.46)</f>
        <v>0.57051065483995844</v>
      </c>
      <c r="AJ50" s="102">
        <f t="shared" ref="AJ50" si="167">MAX(AI50-0.0005,0.46)</f>
        <v>0.5700106548399585</v>
      </c>
      <c r="AK50" s="102">
        <f t="shared" ref="AK50" si="168">MAX(AJ50-0.0005,0.46)</f>
        <v>0.56951065483995855</v>
      </c>
      <c r="AL50" s="102">
        <f t="shared" ref="AL50" si="169">MAX(AK50-0.0005,0.46)</f>
        <v>0.56901065483995861</v>
      </c>
      <c r="AM50" s="102">
        <f t="shared" ref="AM50" si="170">MAX(AL50-0.0005,0.46)</f>
        <v>0.56851065483995866</v>
      </c>
    </row>
    <row r="51" spans="1:39" s="71" customFormat="1" ht="15" customHeight="1">
      <c r="A51" s="19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9"/>
      <c r="N51" s="43"/>
      <c r="O51" s="49"/>
      <c r="P51" s="49"/>
      <c r="Q51" s="49"/>
      <c r="R51" s="148"/>
      <c r="S51" s="70"/>
      <c r="T51" s="70"/>
      <c r="U51" s="70"/>
      <c r="V51" s="70"/>
      <c r="W51" s="70"/>
      <c r="X51" s="7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96"/>
      <c r="AL51" s="96"/>
    </row>
  </sheetData>
  <phoneticPr fontId="0" type="noConversion"/>
  <pageMargins left="0.75" right="0.75" top="0.52" bottom="0.53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42"/>
  <sheetViews>
    <sheetView zoomScale="80" workbookViewId="0">
      <pane xSplit="1" ySplit="2" topLeftCell="B3" activePane="bottomRight" state="frozen"/>
      <selection activeCell="B35" sqref="B35"/>
      <selection pane="topRight" activeCell="B35" sqref="B35"/>
      <selection pane="bottomLeft" activeCell="B35" sqref="B35"/>
      <selection pane="bottomRight"/>
    </sheetView>
  </sheetViews>
  <sheetFormatPr defaultRowHeight="12.75"/>
  <cols>
    <col min="1" max="1" width="25.7109375" bestFit="1" customWidth="1"/>
    <col min="2" max="3" width="9.28515625" customWidth="1"/>
    <col min="4" max="8" width="9.28515625" bestFit="1" customWidth="1"/>
    <col min="9" max="14" width="9.28515625" customWidth="1"/>
    <col min="15" max="15" width="10.85546875" customWidth="1"/>
    <col min="17" max="19" width="9.140625" customWidth="1"/>
    <col min="20" max="20" width="7.28515625" bestFit="1" customWidth="1"/>
  </cols>
  <sheetData>
    <row r="2" spans="1:37" s="30" customFormat="1" ht="18.75">
      <c r="B2" s="31">
        <v>2000</v>
      </c>
      <c r="C2" s="31">
        <v>2001</v>
      </c>
      <c r="D2" s="31">
        <v>2002</v>
      </c>
      <c r="E2" s="31">
        <v>2003</v>
      </c>
      <c r="F2" s="31">
        <v>2004</v>
      </c>
      <c r="G2" s="31">
        <v>2005</v>
      </c>
      <c r="H2" s="31">
        <v>2006</v>
      </c>
      <c r="I2" s="31">
        <v>2007</v>
      </c>
      <c r="J2" s="31">
        <v>2008</v>
      </c>
      <c r="K2" s="31">
        <v>2009</v>
      </c>
      <c r="L2" s="31">
        <v>2010</v>
      </c>
      <c r="M2" s="31">
        <v>2011</v>
      </c>
      <c r="N2" s="31">
        <v>2012</v>
      </c>
      <c r="O2" s="31">
        <f t="shared" ref="O2:X2" si="0">+N2+1</f>
        <v>2013</v>
      </c>
      <c r="P2" s="31">
        <f t="shared" si="0"/>
        <v>2014</v>
      </c>
      <c r="Q2" s="31">
        <f t="shared" si="0"/>
        <v>2015</v>
      </c>
      <c r="R2" s="31">
        <f t="shared" si="0"/>
        <v>2016</v>
      </c>
      <c r="S2" s="31">
        <f t="shared" si="0"/>
        <v>2017</v>
      </c>
      <c r="T2" s="31">
        <f t="shared" si="0"/>
        <v>2018</v>
      </c>
      <c r="U2" s="31">
        <f t="shared" si="0"/>
        <v>2019</v>
      </c>
      <c r="V2" s="31">
        <f t="shared" si="0"/>
        <v>2020</v>
      </c>
      <c r="W2" s="31">
        <f t="shared" si="0"/>
        <v>2021</v>
      </c>
      <c r="X2" s="31">
        <f t="shared" si="0"/>
        <v>2022</v>
      </c>
      <c r="Y2" s="31">
        <f t="shared" ref="Y2" si="1">+X2+1</f>
        <v>2023</v>
      </c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s="2" customFormat="1" ht="21.75" customHeight="1">
      <c r="A3" s="2" t="s">
        <v>17</v>
      </c>
      <c r="O3" s="28"/>
      <c r="V3" s="27"/>
      <c r="W3" s="27"/>
    </row>
    <row r="4" spans="1:37" ht="21" customHeight="1">
      <c r="A4" s="3" t="s">
        <v>33</v>
      </c>
      <c r="D4" s="6">
        <f>'HV-GB System'!D19+'HV-GB System'!D22</f>
        <v>32051</v>
      </c>
      <c r="E4" s="6">
        <f>'HV-GB System'!E19+'HV-GB System'!E22</f>
        <v>32246</v>
      </c>
      <c r="F4" s="6">
        <f>'HV-GB System'!F19+'HV-GB System'!F22</f>
        <v>31620</v>
      </c>
      <c r="G4" s="6">
        <f>'HV-GB System'!G19+'HV-GB System'!G22</f>
        <v>32830</v>
      </c>
      <c r="H4" s="6">
        <f>'HV-GB System'!H19+'HV-GB System'!H22</f>
        <v>31559</v>
      </c>
      <c r="I4" s="6">
        <f>'HV-GB System'!I19+'HV-GB System'!I22</f>
        <v>33720.14</v>
      </c>
      <c r="J4" s="6">
        <f>'HV-GB System'!J19+'HV-GB System'!J22</f>
        <v>33608</v>
      </c>
      <c r="K4" s="6">
        <f>'HV-GB System'!K19+'HV-GB System'!K22</f>
        <v>34673</v>
      </c>
      <c r="L4" s="6">
        <f>'HV-GB System'!L19+'HV-GB System'!L22</f>
        <v>31585</v>
      </c>
      <c r="M4" s="6">
        <f>'HV-GB System'!M19+'HV-GB System'!M22</f>
        <v>34673</v>
      </c>
      <c r="N4" s="6">
        <f>'HV-GB System'!N19+'HV-GB System'!N22</f>
        <v>37430</v>
      </c>
      <c r="O4" s="6">
        <f>'HV-GB System'!O19+'HV-GB System'!O22</f>
        <v>36639.051999999996</v>
      </c>
      <c r="P4" s="6">
        <f>'HV-GB System'!P19+'HV-GB System'!P22</f>
        <v>39108.088000000003</v>
      </c>
      <c r="Q4" s="6">
        <f>'HV-GB System'!Q19+'HV-GB System'!Q22</f>
        <v>39009.536</v>
      </c>
      <c r="R4" s="6">
        <f>'HV-GB System'!R19+'HV-GB System'!R22</f>
        <v>38192.146999999997</v>
      </c>
      <c r="S4" s="6">
        <f>'HV-GB System'!S19+'HV-GB System'!S22</f>
        <v>38337.049999999996</v>
      </c>
      <c r="T4" s="56">
        <f>T5*AVERAGE($N6:$S6)</f>
        <v>39350.772031463137</v>
      </c>
      <c r="U4" s="56">
        <f t="shared" ref="U4:Y4" si="2">U5*AVERAGE($N6:$S6)</f>
        <v>39473.169456133321</v>
      </c>
      <c r="V4" s="56">
        <f t="shared" si="2"/>
        <v>39656.765593138589</v>
      </c>
      <c r="W4" s="56">
        <f t="shared" si="2"/>
        <v>39840.361730143864</v>
      </c>
      <c r="X4" s="56">
        <f t="shared" si="2"/>
        <v>40023.957867149133</v>
      </c>
      <c r="Y4" s="56">
        <f t="shared" si="2"/>
        <v>40207.554004154408</v>
      </c>
      <c r="Z4" s="52"/>
    </row>
    <row r="5" spans="1:37" ht="15.75">
      <c r="A5" s="1" t="s">
        <v>0</v>
      </c>
      <c r="D5" s="6">
        <f>'HV-GB System'!D20+'HV-GB System'!D23</f>
        <v>571</v>
      </c>
      <c r="E5" s="6">
        <f>'HV-GB System'!E20+'HV-GB System'!E23</f>
        <v>584</v>
      </c>
      <c r="F5" s="6">
        <f>'HV-GB System'!F20+'HV-GB System'!F23</f>
        <v>588</v>
      </c>
      <c r="G5" s="6">
        <f>'HV-GB System'!G20+'HV-GB System'!G23</f>
        <v>585</v>
      </c>
      <c r="H5" s="6">
        <f>'HV-GB System'!H20+'HV-GB System'!H23</f>
        <v>591</v>
      </c>
      <c r="I5" s="6">
        <f>'HV-GB System'!I20+'HV-GB System'!I23</f>
        <v>581</v>
      </c>
      <c r="J5" s="6">
        <f>'HV-GB System'!J20+'HV-GB System'!J23</f>
        <v>586</v>
      </c>
      <c r="K5" s="6">
        <f>'HV-GB System'!K20+'HV-GB System'!K23</f>
        <v>600</v>
      </c>
      <c r="L5" s="6">
        <f>'HV-GB System'!L20+'HV-GB System'!L23</f>
        <v>600</v>
      </c>
      <c r="M5" s="6">
        <f>'HV-GB System'!M20+'HV-GB System'!M23</f>
        <v>587</v>
      </c>
      <c r="N5" s="6">
        <f>'HV-GB System'!N20+'HV-GB System'!N23</f>
        <v>612</v>
      </c>
      <c r="O5" s="6">
        <f>'HV-GB System'!O20+'HV-GB System'!O23</f>
        <v>617</v>
      </c>
      <c r="P5" s="6">
        <f>'HV-GB System'!P20+'HV-GB System'!P23</f>
        <v>618</v>
      </c>
      <c r="Q5" s="6">
        <f>'HV-GB System'!Q20+'HV-GB System'!Q23</f>
        <v>617</v>
      </c>
      <c r="R5" s="6">
        <f>'HV-GB System'!R20+'HV-GB System'!R23</f>
        <v>633</v>
      </c>
      <c r="S5" s="6">
        <f>'HV-GB System'!S20+'HV-GB System'!S23</f>
        <v>641</v>
      </c>
      <c r="T5" s="111">
        <f>S5+2</f>
        <v>643</v>
      </c>
      <c r="U5" s="111">
        <f>T5+2</f>
        <v>645</v>
      </c>
      <c r="V5" s="111">
        <f t="shared" ref="V5:Y5" si="3">U5+3</f>
        <v>648</v>
      </c>
      <c r="W5" s="111">
        <f t="shared" si="3"/>
        <v>651</v>
      </c>
      <c r="X5" s="111">
        <f t="shared" si="3"/>
        <v>654</v>
      </c>
      <c r="Y5" s="111">
        <f t="shared" si="3"/>
        <v>657</v>
      </c>
      <c r="Z5" s="52"/>
    </row>
    <row r="6" spans="1:37" ht="15.75">
      <c r="A6" s="1" t="s">
        <v>34</v>
      </c>
      <c r="D6" s="53">
        <f t="shared" ref="D6:I6" si="4">D4/D5</f>
        <v>56.131348511383536</v>
      </c>
      <c r="E6" s="53">
        <f t="shared" si="4"/>
        <v>55.215753424657535</v>
      </c>
      <c r="F6" s="53">
        <f t="shared" si="4"/>
        <v>53.775510204081634</v>
      </c>
      <c r="G6" s="53">
        <f t="shared" si="4"/>
        <v>56.119658119658119</v>
      </c>
      <c r="H6" s="54">
        <f t="shared" si="4"/>
        <v>53.39932318104907</v>
      </c>
      <c r="I6" s="54">
        <f t="shared" si="4"/>
        <v>58.038106712564542</v>
      </c>
      <c r="J6" s="54">
        <f>J4/J5</f>
        <v>57.351535836177476</v>
      </c>
      <c r="K6" s="54">
        <f>K4/K5</f>
        <v>57.788333333333334</v>
      </c>
      <c r="L6" s="54">
        <f>L4/L5</f>
        <v>52.641666666666666</v>
      </c>
      <c r="M6" s="54">
        <f t="shared" ref="M6:S6" si="5">M4/M5</f>
        <v>59.068143100511072</v>
      </c>
      <c r="N6" s="54">
        <f t="shared" si="5"/>
        <v>61.16013071895425</v>
      </c>
      <c r="O6" s="54">
        <f t="shared" si="5"/>
        <v>59.382580226904366</v>
      </c>
      <c r="P6" s="54">
        <f t="shared" si="5"/>
        <v>63.281695792880264</v>
      </c>
      <c r="Q6" s="54">
        <f t="shared" si="5"/>
        <v>63.224531604538086</v>
      </c>
      <c r="R6" s="54">
        <f t="shared" si="5"/>
        <v>60.335145339652442</v>
      </c>
      <c r="S6" s="54">
        <f t="shared" si="5"/>
        <v>59.808190327613097</v>
      </c>
      <c r="T6" s="56"/>
      <c r="U6" s="56"/>
      <c r="V6" s="52"/>
      <c r="W6" s="52"/>
      <c r="X6" s="52"/>
      <c r="Y6" s="52"/>
      <c r="Z6" s="52"/>
    </row>
    <row r="7" spans="1:37" ht="15.75">
      <c r="A7" s="1"/>
      <c r="D7" s="29"/>
      <c r="E7" s="29"/>
      <c r="F7" s="29"/>
      <c r="G7" s="29"/>
      <c r="H7" s="38"/>
      <c r="I7" s="38"/>
      <c r="J7" s="38"/>
      <c r="K7" s="38"/>
      <c r="L7" s="38"/>
      <c r="M7" s="38"/>
      <c r="N7" s="78" t="s">
        <v>39</v>
      </c>
      <c r="O7" s="12">
        <f>(O5-J5)/5</f>
        <v>6.2</v>
      </c>
      <c r="P7" s="12">
        <f>(P5-K5)/5</f>
        <v>3.6</v>
      </c>
      <c r="Q7" s="12">
        <f>(Q5-L5)/5</f>
        <v>3.4</v>
      </c>
      <c r="R7" s="12">
        <f>(R5-M5)/5</f>
        <v>9.1999999999999993</v>
      </c>
      <c r="S7" s="12">
        <f>(S5-N5)/5</f>
        <v>5.8</v>
      </c>
      <c r="T7" s="56"/>
      <c r="U7" s="56"/>
      <c r="V7" s="52"/>
      <c r="W7" s="52"/>
      <c r="X7" s="52"/>
      <c r="Y7" s="52"/>
      <c r="Z7" s="52"/>
    </row>
    <row r="8" spans="1:37" ht="15.75">
      <c r="A8" s="1"/>
      <c r="D8" s="4"/>
      <c r="E8" s="4"/>
      <c r="F8" s="4"/>
      <c r="G8" s="4"/>
      <c r="H8" s="4"/>
      <c r="I8" s="4"/>
      <c r="J8" s="4"/>
      <c r="K8" s="4"/>
      <c r="L8" s="4"/>
      <c r="M8" s="4"/>
      <c r="N8" s="78" t="s">
        <v>40</v>
      </c>
      <c r="O8" s="12">
        <f>(O5-E5)/10</f>
        <v>3.3</v>
      </c>
      <c r="P8" s="12">
        <f>(P5-F5)/10</f>
        <v>3</v>
      </c>
      <c r="Q8" s="12">
        <f>(Q5-G5)/10</f>
        <v>3.2</v>
      </c>
      <c r="R8" s="12">
        <f>(R5-H5)/10</f>
        <v>4.2</v>
      </c>
      <c r="S8" s="12">
        <f>(S5-I5)/10</f>
        <v>6</v>
      </c>
      <c r="T8" s="147"/>
      <c r="U8" s="147"/>
      <c r="V8" s="52"/>
      <c r="W8" s="52"/>
      <c r="X8" s="52"/>
      <c r="Y8" s="52"/>
      <c r="Z8" s="52"/>
    </row>
    <row r="9" spans="1:37" s="2" customFormat="1" ht="21.75" customHeight="1">
      <c r="A9" s="2" t="s">
        <v>18</v>
      </c>
      <c r="O9" s="4"/>
      <c r="T9" s="88"/>
      <c r="U9" s="88"/>
      <c r="V9" s="88"/>
      <c r="W9" s="88"/>
      <c r="X9" s="88"/>
      <c r="Y9" s="88"/>
      <c r="Z9" s="88"/>
    </row>
    <row r="10" spans="1:37" ht="21" customHeight="1">
      <c r="A10" s="3" t="s">
        <v>33</v>
      </c>
      <c r="B10" s="6"/>
      <c r="C10" s="6"/>
      <c r="D10" s="6">
        <f>'Labrador City System'!C18+'Labrador City System'!C21</f>
        <v>18183</v>
      </c>
      <c r="E10" s="6">
        <f>'Labrador City System'!D18+'Labrador City System'!D21</f>
        <v>18284</v>
      </c>
      <c r="F10" s="6">
        <f>'Labrador City System'!E18+'Labrador City System'!E21</f>
        <v>19740</v>
      </c>
      <c r="G10" s="6">
        <f>'Labrador City System'!F18+'Labrador City System'!F21</f>
        <v>19101</v>
      </c>
      <c r="H10" s="6">
        <f>'Labrador City System'!G18+'Labrador City System'!G21</f>
        <v>18695</v>
      </c>
      <c r="I10" s="6">
        <f>'Labrador City System'!H18+'Labrador City System'!H21</f>
        <v>19799.310000000001</v>
      </c>
      <c r="J10" s="6">
        <f>'Labrador City System'!I18+'Labrador City System'!I21</f>
        <v>20679</v>
      </c>
      <c r="K10" s="6">
        <f>'Labrador City System'!J18+'Labrador City System'!J21</f>
        <v>20657.991999999998</v>
      </c>
      <c r="L10" s="6">
        <f>'Labrador City System'!K18+'Labrador City System'!K21</f>
        <v>19979.702000000001</v>
      </c>
      <c r="M10" s="6">
        <f>'Labrador City System'!L18+'Labrador City System'!L21</f>
        <v>21116</v>
      </c>
      <c r="N10" s="6">
        <f>'Labrador City System'!M18+'Labrador City System'!M21</f>
        <v>22713.815999999999</v>
      </c>
      <c r="O10" s="6">
        <f>'Labrador City System'!N18+'Labrador City System'!N21</f>
        <v>22535</v>
      </c>
      <c r="P10" s="6">
        <f>'Labrador City System'!O18+'Labrador City System'!O21</f>
        <v>21787.071</v>
      </c>
      <c r="Q10" s="6">
        <f>'Labrador City System'!P18+'Labrador City System'!P21</f>
        <v>21820.177</v>
      </c>
      <c r="R10" s="6">
        <f>'Labrador City System'!Q18+'Labrador City System'!Q21</f>
        <v>21689</v>
      </c>
      <c r="S10" s="6">
        <f>'Labrador City System'!R18+'Labrador City System'!R21</f>
        <v>21422.870000000003</v>
      </c>
      <c r="T10" s="56">
        <f t="shared" ref="T10:X10" si="6">$R12*T11</f>
        <v>22205.404761904763</v>
      </c>
      <c r="U10" s="56">
        <f t="shared" si="6"/>
        <v>22399.05654761905</v>
      </c>
      <c r="V10" s="56">
        <f t="shared" si="6"/>
        <v>22592.708333333336</v>
      </c>
      <c r="W10" s="56">
        <f t="shared" si="6"/>
        <v>22786.360119047618</v>
      </c>
      <c r="X10" s="56">
        <f t="shared" si="6"/>
        <v>22980.011904761905</v>
      </c>
      <c r="Y10" s="56">
        <f t="shared" ref="Y10" si="7">$R12*Y11</f>
        <v>23173.663690476191</v>
      </c>
      <c r="Z10" s="52"/>
    </row>
    <row r="11" spans="1:37" ht="15.75">
      <c r="A11" s="1" t="s">
        <v>0</v>
      </c>
      <c r="B11" s="6"/>
      <c r="C11" s="6"/>
      <c r="D11" s="6">
        <f>'Labrador City System'!C19+'Labrador City System'!C22</f>
        <v>284</v>
      </c>
      <c r="E11" s="6">
        <f>'Labrador City System'!D19+'Labrador City System'!D22</f>
        <v>287</v>
      </c>
      <c r="F11" s="6">
        <f>'Labrador City System'!E19+'Labrador City System'!E22</f>
        <v>277</v>
      </c>
      <c r="G11" s="6">
        <f>'Labrador City System'!F19+'Labrador City System'!F22</f>
        <v>278</v>
      </c>
      <c r="H11" s="6">
        <f>'Labrador City System'!G19+'Labrador City System'!G22</f>
        <v>266</v>
      </c>
      <c r="I11" s="6">
        <f>'Labrador City System'!H19+'Labrador City System'!H22</f>
        <v>274</v>
      </c>
      <c r="J11" s="6">
        <f>'Labrador City System'!I19+'Labrador City System'!I22</f>
        <v>292</v>
      </c>
      <c r="K11" s="6">
        <f>'Labrador City System'!J19+'Labrador City System'!J22</f>
        <v>298</v>
      </c>
      <c r="L11" s="6">
        <f>'Labrador City System'!K19+'Labrador City System'!K22</f>
        <v>306</v>
      </c>
      <c r="M11" s="6">
        <f>'Labrador City System'!L19+'Labrador City System'!L22</f>
        <v>321</v>
      </c>
      <c r="N11" s="6">
        <f>'Labrador City System'!M19+'Labrador City System'!M22</f>
        <v>326</v>
      </c>
      <c r="O11" s="6">
        <f>'Labrador City System'!N19+'Labrador City System'!N22</f>
        <v>329</v>
      </c>
      <c r="P11" s="6">
        <f>'Labrador City System'!O19+'Labrador City System'!O22</f>
        <v>323</v>
      </c>
      <c r="Q11" s="6">
        <f>'Labrador City System'!P19+'Labrador City System'!P22</f>
        <v>332</v>
      </c>
      <c r="R11" s="6">
        <f>'Labrador City System'!Q19+'Labrador City System'!Q22</f>
        <v>336</v>
      </c>
      <c r="S11" s="6">
        <f>'Labrador City System'!R19+'Labrador City System'!R22</f>
        <v>341</v>
      </c>
      <c r="T11" s="111">
        <f>S11+3</f>
        <v>344</v>
      </c>
      <c r="U11" s="111">
        <f t="shared" ref="U11:Y11" si="8">T11+3</f>
        <v>347</v>
      </c>
      <c r="V11" s="111">
        <f t="shared" si="8"/>
        <v>350</v>
      </c>
      <c r="W11" s="111">
        <f t="shared" si="8"/>
        <v>353</v>
      </c>
      <c r="X11" s="111">
        <f t="shared" si="8"/>
        <v>356</v>
      </c>
      <c r="Y11" s="111">
        <f t="shared" si="8"/>
        <v>359</v>
      </c>
      <c r="Z11" s="52"/>
    </row>
    <row r="12" spans="1:37" ht="15.75">
      <c r="A12" s="1" t="s">
        <v>34</v>
      </c>
      <c r="B12" s="53"/>
      <c r="C12" s="53"/>
      <c r="D12" s="53">
        <f t="shared" ref="D12:I12" si="9">D10/D11</f>
        <v>64.024647887323937</v>
      </c>
      <c r="E12" s="53">
        <f t="shared" si="9"/>
        <v>63.707317073170735</v>
      </c>
      <c r="F12" s="53">
        <f t="shared" si="9"/>
        <v>71.263537906137188</v>
      </c>
      <c r="G12" s="53">
        <f t="shared" si="9"/>
        <v>68.708633093525179</v>
      </c>
      <c r="H12" s="54">
        <f t="shared" si="9"/>
        <v>70.281954887218049</v>
      </c>
      <c r="I12" s="54">
        <f t="shared" si="9"/>
        <v>72.260255474452563</v>
      </c>
      <c r="J12" s="54">
        <f>J10/J11</f>
        <v>70.81849315068493</v>
      </c>
      <c r="K12" s="54">
        <f>K10/K11</f>
        <v>69.322120805369124</v>
      </c>
      <c r="L12" s="54">
        <f>L10/L11</f>
        <v>65.293143790849683</v>
      </c>
      <c r="M12" s="54">
        <f t="shared" ref="M12:Q12" si="10">M10/M11</f>
        <v>65.781931464174448</v>
      </c>
      <c r="N12" s="54">
        <f t="shared" si="10"/>
        <v>69.674282208588949</v>
      </c>
      <c r="O12" s="54">
        <f t="shared" si="10"/>
        <v>68.495440729483278</v>
      </c>
      <c r="P12" s="54">
        <f t="shared" si="10"/>
        <v>67.452232198142411</v>
      </c>
      <c r="Q12" s="54">
        <f t="shared" si="10"/>
        <v>65.723424698795185</v>
      </c>
      <c r="R12" s="54">
        <f t="shared" ref="R12:S12" si="11">R10/R11</f>
        <v>64.550595238095241</v>
      </c>
      <c r="S12" s="54">
        <f t="shared" si="11"/>
        <v>62.823665689149571</v>
      </c>
      <c r="T12" s="245">
        <f t="shared" ref="T12:W12" si="12">T10/T11</f>
        <v>64.550595238095241</v>
      </c>
      <c r="U12" s="245">
        <f t="shared" si="12"/>
        <v>64.550595238095241</v>
      </c>
      <c r="V12" s="245">
        <f t="shared" si="12"/>
        <v>64.550595238095241</v>
      </c>
      <c r="W12" s="245">
        <f t="shared" si="12"/>
        <v>64.550595238095241</v>
      </c>
      <c r="X12" s="245">
        <f t="shared" ref="X12:Y12" si="13">X10/X11</f>
        <v>64.550595238095241</v>
      </c>
      <c r="Y12" s="245">
        <f t="shared" si="13"/>
        <v>64.550595238095241</v>
      </c>
      <c r="Z12" s="52"/>
    </row>
    <row r="13" spans="1:37" ht="15.75">
      <c r="A13" s="1"/>
      <c r="D13" s="29"/>
      <c r="E13" s="29"/>
      <c r="F13" s="29"/>
      <c r="G13" s="29"/>
      <c r="H13" s="38"/>
      <c r="I13" s="38"/>
      <c r="J13" s="38"/>
      <c r="K13" s="38"/>
      <c r="L13" s="38"/>
      <c r="M13" s="38"/>
      <c r="N13" s="78" t="s">
        <v>39</v>
      </c>
      <c r="O13" s="12">
        <f>(O11-J11)/5</f>
        <v>7.4</v>
      </c>
      <c r="P13" s="12">
        <f>(P11-K11)/5</f>
        <v>5</v>
      </c>
      <c r="Q13" s="12">
        <f>(Q11-L11)/5</f>
        <v>5.2</v>
      </c>
      <c r="R13" s="12">
        <f>(R11-M11)/5</f>
        <v>3</v>
      </c>
      <c r="S13" s="12">
        <f>(S11-N11)/5</f>
        <v>3</v>
      </c>
      <c r="T13" s="52"/>
      <c r="U13" s="52"/>
      <c r="V13" s="52"/>
      <c r="W13" s="52"/>
      <c r="X13" s="52"/>
      <c r="Y13" s="52"/>
      <c r="Z13" s="52"/>
    </row>
    <row r="14" spans="1:37" ht="15.75" customHeight="1">
      <c r="H14" s="18"/>
      <c r="I14" s="18"/>
      <c r="J14" s="18"/>
      <c r="K14" s="18"/>
      <c r="L14" s="18"/>
      <c r="M14" s="18"/>
      <c r="N14" s="78" t="s">
        <v>40</v>
      </c>
      <c r="O14" s="12">
        <f>(N11-D11)/10</f>
        <v>4.2</v>
      </c>
      <c r="P14" s="12">
        <f>(P11-F11)/10</f>
        <v>4.5999999999999996</v>
      </c>
      <c r="Q14" s="12">
        <f>(Q11-G11)/10</f>
        <v>5.4</v>
      </c>
      <c r="R14" s="12">
        <f>(R11-H11)/10</f>
        <v>7</v>
      </c>
      <c r="S14" s="12">
        <f>(S11-I11)/10</f>
        <v>6.7</v>
      </c>
      <c r="T14" s="52"/>
      <c r="U14" s="52"/>
      <c r="V14" s="52"/>
      <c r="W14" s="52"/>
      <c r="X14" s="52"/>
      <c r="Y14" s="52"/>
      <c r="Z14" s="52"/>
    </row>
    <row r="15" spans="1:37" ht="15.75">
      <c r="A15" s="2" t="s">
        <v>20</v>
      </c>
      <c r="H15" s="18"/>
      <c r="I15" s="18"/>
      <c r="J15" s="18"/>
      <c r="K15" s="18"/>
      <c r="L15" s="18"/>
      <c r="M15" s="18"/>
      <c r="N15" s="18"/>
      <c r="O15" s="4"/>
      <c r="T15" s="52"/>
      <c r="U15" s="52"/>
      <c r="V15" s="52"/>
      <c r="W15" s="52"/>
      <c r="X15" s="52"/>
      <c r="Y15" s="52"/>
      <c r="Z15" s="52"/>
    </row>
    <row r="16" spans="1:37" ht="15.75">
      <c r="A16" s="3" t="s">
        <v>33</v>
      </c>
      <c r="B16" s="6"/>
      <c r="C16" s="6"/>
      <c r="D16" s="6">
        <f>'Wabush System'!C18+'Wabush System'!C21</f>
        <v>12445</v>
      </c>
      <c r="E16" s="6">
        <f>'Wabush System'!D18+'Wabush System'!D21</f>
        <v>12220</v>
      </c>
      <c r="F16" s="6">
        <f>'Wabush System'!E18+'Wabush System'!E21</f>
        <v>13054</v>
      </c>
      <c r="G16" s="6">
        <f>'Wabush System'!F18+'Wabush System'!F21</f>
        <v>11805</v>
      </c>
      <c r="H16" s="6">
        <f>'Wabush System'!G18+'Wabush System'!G21</f>
        <v>11063</v>
      </c>
      <c r="I16" s="6">
        <f>'Wabush System'!H18+'Wabush System'!H21</f>
        <v>11569.699999999999</v>
      </c>
      <c r="J16" s="6">
        <f>'Wabush System'!I18+'Wabush System'!I21</f>
        <v>11496</v>
      </c>
      <c r="K16" s="6">
        <f>'Wabush System'!J18+'Wabush System'!J21</f>
        <v>12040</v>
      </c>
      <c r="L16" s="6">
        <f>'Wabush System'!K18+'Wabush System'!K21</f>
        <v>10958.624</v>
      </c>
      <c r="M16" s="6">
        <f>'Wabush System'!L18+'Wabush System'!L21</f>
        <v>12780</v>
      </c>
      <c r="N16" s="6">
        <f>'Wabush System'!M18+'Wabush System'!M21</f>
        <v>14519.87</v>
      </c>
      <c r="O16" s="6">
        <f>'Wabush System'!N18+'Wabush System'!N21</f>
        <v>15492</v>
      </c>
      <c r="P16" s="6">
        <f>'Wabush System'!O18+'Wabush System'!O21</f>
        <v>18353.428</v>
      </c>
      <c r="Q16" s="6">
        <f>[1]Wabush!AA18+[1]Wabush!AA21</f>
        <v>15188.724</v>
      </c>
      <c r="R16" s="6">
        <f>'Wabush System'!Q18+'Wabush System'!Q21</f>
        <v>16829</v>
      </c>
      <c r="S16" s="6">
        <f>'Wabush System'!R18+'Wabush System'!R21</f>
        <v>17988.912</v>
      </c>
      <c r="T16" s="56">
        <f>AVERAGE($N18:$S18)*T17</f>
        <v>17117.592891805805</v>
      </c>
      <c r="U16" s="56">
        <f t="shared" ref="U16:Y16" si="14">AVERAGE($N18:$S18)*U17</f>
        <v>17261.43821022434</v>
      </c>
      <c r="V16" s="56">
        <f t="shared" si="14"/>
        <v>17405.283528642878</v>
      </c>
      <c r="W16" s="56">
        <f t="shared" si="14"/>
        <v>17549.128847061413</v>
      </c>
      <c r="X16" s="56">
        <f t="shared" si="14"/>
        <v>17692.974165479951</v>
      </c>
      <c r="Y16" s="56">
        <f t="shared" si="14"/>
        <v>17836.819483898485</v>
      </c>
      <c r="Z16" s="56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1" t="s">
        <v>0</v>
      </c>
      <c r="B17" s="6"/>
      <c r="C17" s="6"/>
      <c r="D17" s="6">
        <f>'Wabush System'!C19+'Wabush System'!C22</f>
        <v>158</v>
      </c>
      <c r="E17" s="6">
        <f>'Wabush System'!D19+'Wabush System'!D22</f>
        <v>157</v>
      </c>
      <c r="F17" s="6">
        <f>'Wabush System'!E19+'Wabush System'!E22</f>
        <v>157</v>
      </c>
      <c r="G17" s="6">
        <f>'Wabush System'!F19+'Wabush System'!F22</f>
        <v>158</v>
      </c>
      <c r="H17" s="6">
        <f>'Wabush System'!G19+'Wabush System'!G22</f>
        <v>163</v>
      </c>
      <c r="I17" s="6">
        <f>'Wabush System'!H19+'Wabush System'!H22</f>
        <v>167</v>
      </c>
      <c r="J17" s="6">
        <f>'Wabush System'!I19+'Wabush System'!I22</f>
        <v>185</v>
      </c>
      <c r="K17" s="6">
        <f>'Wabush System'!J19+'Wabush System'!J22</f>
        <v>187</v>
      </c>
      <c r="L17" s="6">
        <f>'Wabush System'!K19+'Wabush System'!K22</f>
        <v>190</v>
      </c>
      <c r="M17" s="6">
        <f>'Wabush System'!L19+'Wabush System'!L22</f>
        <v>197</v>
      </c>
      <c r="N17" s="6">
        <f>'Wabush System'!M19+'Wabush System'!M22</f>
        <v>218</v>
      </c>
      <c r="O17" s="6">
        <f>'Wabush System'!N19+'Wabush System'!N22</f>
        <v>222</v>
      </c>
      <c r="P17" s="6">
        <f>'Wabush System'!O19+'Wabush System'!O22</f>
        <v>230</v>
      </c>
      <c r="Q17" s="6">
        <f>[1]Wabush!AA19+[1]Wabush!AA22</f>
        <v>226</v>
      </c>
      <c r="R17" s="6">
        <f>'Wabush System'!Q19+'Wabush System'!Q22</f>
        <v>234</v>
      </c>
      <c r="S17" s="6">
        <f>'Wabush System'!R19+'Wabush System'!R22</f>
        <v>236</v>
      </c>
      <c r="T17" s="111">
        <f>S17+2</f>
        <v>238</v>
      </c>
      <c r="U17" s="111">
        <f>T17+2</f>
        <v>240</v>
      </c>
      <c r="V17" s="111">
        <f t="shared" ref="V17:Y17" si="15">U17+2</f>
        <v>242</v>
      </c>
      <c r="W17" s="111">
        <f t="shared" si="15"/>
        <v>244</v>
      </c>
      <c r="X17" s="111">
        <f t="shared" si="15"/>
        <v>246</v>
      </c>
      <c r="Y17" s="111">
        <f t="shared" si="15"/>
        <v>248</v>
      </c>
      <c r="Z17" s="111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</row>
    <row r="18" spans="1:37" ht="15.75">
      <c r="A18" s="1" t="s">
        <v>34</v>
      </c>
      <c r="B18" s="53"/>
      <c r="C18" s="53"/>
      <c r="D18" s="53">
        <f t="shared" ref="D18:I18" si="16">D16/D17</f>
        <v>78.765822784810126</v>
      </c>
      <c r="E18" s="53">
        <f t="shared" si="16"/>
        <v>77.834394904458605</v>
      </c>
      <c r="F18" s="53">
        <f t="shared" si="16"/>
        <v>83.146496815286625</v>
      </c>
      <c r="G18" s="53">
        <f t="shared" si="16"/>
        <v>74.715189873417728</v>
      </c>
      <c r="H18" s="54">
        <f t="shared" si="16"/>
        <v>67.871165644171782</v>
      </c>
      <c r="I18" s="54">
        <f t="shared" si="16"/>
        <v>69.279640718562874</v>
      </c>
      <c r="J18" s="54">
        <f>J16/J17</f>
        <v>62.140540540540542</v>
      </c>
      <c r="K18" s="54">
        <f>K16/K17</f>
        <v>64.38502673796792</v>
      </c>
      <c r="L18" s="54">
        <f>L16/L17</f>
        <v>57.676968421052628</v>
      </c>
      <c r="M18" s="54">
        <f t="shared" ref="M18:Q18" si="17">M16/M17</f>
        <v>64.873096446700501</v>
      </c>
      <c r="N18" s="54">
        <f t="shared" si="17"/>
        <v>66.604908256880734</v>
      </c>
      <c r="O18" s="54">
        <f t="shared" si="17"/>
        <v>69.78378378378379</v>
      </c>
      <c r="P18" s="54">
        <f t="shared" si="17"/>
        <v>79.797513043478261</v>
      </c>
      <c r="Q18" s="54">
        <f t="shared" si="17"/>
        <v>67.206743362831858</v>
      </c>
      <c r="R18" s="54">
        <f t="shared" ref="R18:S18" si="18">R16/R17</f>
        <v>71.918803418803421</v>
      </c>
      <c r="S18" s="54">
        <f t="shared" si="18"/>
        <v>76.224203389830507</v>
      </c>
      <c r="T18" s="52"/>
      <c r="U18" s="52"/>
      <c r="V18" s="52"/>
      <c r="W18" s="52"/>
      <c r="X18" s="52"/>
      <c r="Y18" s="52"/>
      <c r="Z18" s="52"/>
    </row>
    <row r="19" spans="1:37" ht="15.75">
      <c r="H19" s="18"/>
      <c r="I19" s="18"/>
      <c r="J19" s="18"/>
      <c r="K19" s="18"/>
      <c r="L19" s="18"/>
      <c r="M19" s="18"/>
      <c r="N19" s="78" t="s">
        <v>39</v>
      </c>
      <c r="O19" s="12">
        <f>(O17-J17)/5</f>
        <v>7.4</v>
      </c>
      <c r="P19" s="12">
        <f>(P17-K17)/5</f>
        <v>8.6</v>
      </c>
      <c r="Q19" s="12">
        <f>(Q17-L17)/5</f>
        <v>7.2</v>
      </c>
      <c r="R19" s="12">
        <f>(R17-M17)/5</f>
        <v>7.4</v>
      </c>
      <c r="S19" s="12">
        <f>(S17-N17)/5</f>
        <v>3.6</v>
      </c>
    </row>
    <row r="20" spans="1:37" ht="15.75">
      <c r="H20" s="18"/>
      <c r="I20" s="18"/>
      <c r="J20" s="18"/>
      <c r="K20" s="18"/>
      <c r="L20" s="18"/>
      <c r="M20" s="18"/>
      <c r="N20" s="78" t="s">
        <v>40</v>
      </c>
      <c r="O20" s="12">
        <f>(O17-E17)/10</f>
        <v>6.5</v>
      </c>
      <c r="P20" s="12">
        <f>(P17-F17)/10</f>
        <v>7.3</v>
      </c>
      <c r="Q20" s="12">
        <f>(Q17-G17)/10</f>
        <v>6.8</v>
      </c>
      <c r="R20" s="12">
        <f>(R17-H17)/10</f>
        <v>7.1</v>
      </c>
      <c r="S20" s="12">
        <f>(S17-I17)/10</f>
        <v>6.9</v>
      </c>
    </row>
    <row r="22" spans="1:37">
      <c r="A22" s="47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40" spans="5:15"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</row>
    <row r="41" spans="5:15"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</row>
    <row r="42" spans="5:15"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</row>
  </sheetData>
  <phoneticPr fontId="1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riter_x0020_Name xmlns="77435b79-0e1b-410a-8b6e-b30c9f74a43b" xsi:nil="true"/>
    <Round xmlns="77435b79-0e1b-410a-8b6e-b30c9f74a43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3BDFDF9321D4FA4F1C881C7E75E6F" ma:contentTypeVersion="6" ma:contentTypeDescription="Create a new document." ma:contentTypeScope="" ma:versionID="4271fd6621ccfaec59af2b3d83ac6084">
  <xsd:schema xmlns:xsd="http://www.w3.org/2001/XMLSchema" xmlns:xs="http://www.w3.org/2001/XMLSchema" xmlns:p="http://schemas.microsoft.com/office/2006/metadata/properties" xmlns:ns1="http://schemas.microsoft.com/sharepoint/v3" xmlns:ns2="77435b79-0e1b-410a-8b6e-b30c9f74a43b" targetNamespace="http://schemas.microsoft.com/office/2006/metadata/properties" ma:root="true" ma:fieldsID="b037b9b65ffc62f750c4b4fb2e991b11" ns1:_="" ns2:_="">
    <xsd:import namespace="http://schemas.microsoft.com/sharepoint/v3"/>
    <xsd:import namespace="77435b79-0e1b-410a-8b6e-b30c9f74a43b"/>
    <xsd:element name="properties">
      <xsd:complexType>
        <xsd:sequence>
          <xsd:element name="documentManagement">
            <xsd:complexType>
              <xsd:all>
                <xsd:element ref="ns1:PublishingExpirationDate" minOccurs="0"/>
                <xsd:element ref="ns1:PublishingStartDate" minOccurs="0"/>
                <xsd:element ref="ns2:Writer_x0020_Name" minOccurs="0"/>
                <xsd:element ref="ns2: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  <xsd:element name="PublishingStartDate" ma:index="3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35b79-0e1b-410a-8b6e-b30c9f74a43b" elementFormDefault="qualified">
    <xsd:import namespace="http://schemas.microsoft.com/office/2006/documentManagement/types"/>
    <xsd:import namespace="http://schemas.microsoft.com/office/infopath/2007/PartnerControls"/>
    <xsd:element name="Writer_x0020_Name" ma:index="4" nillable="true" ma:displayName="Writer Name" ma:internalName="Writer_x0020_Name">
      <xsd:simpleType>
        <xsd:restriction base="dms:Text">
          <xsd:maxLength value="255"/>
        </xsd:restriction>
      </xsd:simpleType>
    </xsd:element>
    <xsd:element name="Round" ma:index="5" nillable="true" ma:displayName="Round" ma:internalName="Roun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796B8B-62FE-49B1-8D2A-4A7A22A1354B}">
  <ds:schemaRefs>
    <ds:schemaRef ds:uri="http://schemas.microsoft.com/office/2006/metadata/properties"/>
    <ds:schemaRef ds:uri="http://schemas.microsoft.com/office/infopath/2007/PartnerControls"/>
    <ds:schemaRef ds:uri="77435b79-0e1b-410a-8b6e-b30c9f74a43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F15C90F-5CBE-419B-B5AD-70740890A4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E3F4F8-0371-4649-800E-058D79703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7435b79-0e1b-410a-8b6e-b30c9f74a4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HV-GB System</vt:lpstr>
      <vt:lpstr>Labrador City System</vt:lpstr>
      <vt:lpstr>Wabush System</vt:lpstr>
      <vt:lpstr>Lab West Long Term</vt:lpstr>
      <vt:lpstr>Small GS</vt:lpstr>
    </vt:vector>
  </TitlesOfParts>
  <Company>Newfoundland &amp; Labrador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Terry Humphries</dc:creator>
  <cp:lastModifiedBy>Colleen Jones</cp:lastModifiedBy>
  <cp:lastPrinted>2012-10-22T14:58:10Z</cp:lastPrinted>
  <dcterms:created xsi:type="dcterms:W3CDTF">2004-03-25T19:43:37Z</dcterms:created>
  <dcterms:modified xsi:type="dcterms:W3CDTF">2019-03-28T18:16:48Z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0x010100D9A3BDFDF9321D4FA4F1C881C7E75E6F</vt:lpwstr>
  </property>
</Properties>
</file>